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分配表" sheetId="8" r:id="rId1"/>
    <sheet name="特困因素" sheetId="10" r:id="rId2"/>
    <sheet name="深度贫困因素" sheetId="11" r:id="rId3"/>
    <sheet name="因素表" sheetId="6" r:id="rId4"/>
    <sheet name="支持贫困比例" sheetId="9" r:id="rId5"/>
  </sheets>
  <definedNames>
    <definedName name="_xlnm._FilterDatabase" localSheetId="3" hidden="1">因素表!$A$6:$W$108</definedName>
    <definedName name="_xlnm.Print_Titles" localSheetId="0">资金分配表!$3:$3</definedName>
    <definedName name="_xlnm.Print_Titles" localSheetId="3">因素表!$4:$5</definedName>
    <definedName name="_xlnm.Print_Titles" localSheetId="2">深度贫困因素!$4:$5</definedName>
  </definedNames>
  <calcPr calcId="144525"/>
</workbook>
</file>

<file path=xl/sharedStrings.xml><?xml version="1.0" encoding="utf-8"?>
<sst xmlns="http://schemas.openxmlformats.org/spreadsheetml/2006/main" count="385" uniqueCount="219">
  <si>
    <t>附件</t>
  </si>
  <si>
    <t>2021年少数民族发展资金分配表
（第一批）</t>
  </si>
  <si>
    <t>序号</t>
  </si>
  <si>
    <t>地  区</t>
  </si>
  <si>
    <t>第一批</t>
  </si>
  <si>
    <r>
      <rPr>
        <b/>
        <sz val="12"/>
        <color rgb="FF000000"/>
        <rFont val="黑体"/>
        <charset val="134"/>
      </rPr>
      <t>合</t>
    </r>
    <r>
      <rPr>
        <b/>
        <sz val="12"/>
        <color rgb="FF000000"/>
        <rFont val="Times New Roman"/>
        <charset val="134"/>
      </rPr>
      <t xml:space="preserve">       </t>
    </r>
    <r>
      <rPr>
        <b/>
        <sz val="12"/>
        <color rgb="FF000000"/>
        <rFont val="黑体"/>
        <charset val="134"/>
      </rPr>
      <t>计</t>
    </r>
  </si>
  <si>
    <t>一</t>
  </si>
  <si>
    <t>伊犁州</t>
  </si>
  <si>
    <t>伊宁市</t>
  </si>
  <si>
    <t>伊宁县</t>
  </si>
  <si>
    <t>霍尔果斯市</t>
  </si>
  <si>
    <t>霍城县</t>
  </si>
  <si>
    <t>巩留县</t>
  </si>
  <si>
    <t>新源县</t>
  </si>
  <si>
    <t>特克斯县</t>
  </si>
  <si>
    <t>尼勒克县</t>
  </si>
  <si>
    <t>奎屯市</t>
  </si>
  <si>
    <t>察布查尔县</t>
  </si>
  <si>
    <t>昭苏县</t>
  </si>
  <si>
    <t>二</t>
  </si>
  <si>
    <t>塔城地区</t>
  </si>
  <si>
    <t>塔城市</t>
  </si>
  <si>
    <t>额敏县</t>
  </si>
  <si>
    <t>托里县</t>
  </si>
  <si>
    <t>裕民县</t>
  </si>
  <si>
    <t>和布克赛尔县</t>
  </si>
  <si>
    <t>乌苏市</t>
  </si>
  <si>
    <t>沙湾县</t>
  </si>
  <si>
    <t>三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</si>
  <si>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</si>
  <si>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</si>
  <si>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</si>
  <si>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</si>
  <si>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</si>
  <si>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</si>
  <si>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</si>
  <si>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</si>
  <si>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四</t>
  </si>
  <si>
    <r>
      <rPr>
        <b/>
        <sz val="11"/>
        <rFont val="宋体"/>
        <charset val="134"/>
      </rPr>
      <t>博</t>
    </r>
    <r>
      <rPr>
        <b/>
        <sz val="11"/>
        <color rgb="FF000000"/>
        <rFont val="Times New Roman"/>
        <charset val="134"/>
      </rPr>
      <t xml:space="preserve">  </t>
    </r>
    <r>
      <rPr>
        <b/>
        <sz val="11"/>
        <color rgb="FF000000"/>
        <rFont val="宋体"/>
        <charset val="134"/>
      </rPr>
      <t>州</t>
    </r>
  </si>
  <si>
    <t>博乐市</t>
  </si>
  <si>
    <t>阿拉山口市</t>
  </si>
  <si>
    <t>温泉县</t>
  </si>
  <si>
    <t>精河县</t>
  </si>
  <si>
    <t>五</t>
  </si>
  <si>
    <t>昌吉州</t>
  </si>
  <si>
    <t>奇台县</t>
  </si>
  <si>
    <t>木垒县</t>
  </si>
  <si>
    <t>昌吉市</t>
  </si>
  <si>
    <t>阜康市</t>
  </si>
  <si>
    <t>呼图壁县</t>
  </si>
  <si>
    <t>玛纳斯县</t>
  </si>
  <si>
    <t>吉木萨尔县</t>
  </si>
  <si>
    <t>六</t>
  </si>
  <si>
    <t>克拉玛依市</t>
  </si>
  <si>
    <t>克拉玛依区</t>
  </si>
  <si>
    <t>乌尔禾区</t>
  </si>
  <si>
    <t>七</t>
  </si>
  <si>
    <t>乌鲁木齐市</t>
  </si>
  <si>
    <t>乌鲁木齐县</t>
  </si>
  <si>
    <t>八</t>
  </si>
  <si>
    <t>哈密市</t>
  </si>
  <si>
    <t>伊州区</t>
  </si>
  <si>
    <t>巴里坤县</t>
  </si>
  <si>
    <t>伊吾县</t>
  </si>
  <si>
    <t>九</t>
  </si>
  <si>
    <t>吐鲁番市</t>
  </si>
  <si>
    <t>高昌区</t>
  </si>
  <si>
    <t>鄯善县</t>
  </si>
  <si>
    <t>托克逊县</t>
  </si>
  <si>
    <t>十</t>
  </si>
  <si>
    <r>
      <rPr>
        <b/>
        <sz val="11"/>
        <rFont val="宋体"/>
        <charset val="134"/>
      </rPr>
      <t>巴</t>
    </r>
    <r>
      <rPr>
        <b/>
        <sz val="11"/>
        <color rgb="FF000000"/>
        <rFont val="Times New Roman"/>
        <charset val="134"/>
      </rPr>
      <t xml:space="preserve">    </t>
    </r>
    <r>
      <rPr>
        <b/>
        <sz val="11"/>
        <color rgb="FF000000"/>
        <rFont val="宋体"/>
        <charset val="134"/>
      </rPr>
      <t>州</t>
    </r>
  </si>
  <si>
    <t>库尔勒市</t>
  </si>
  <si>
    <t>轮台县</t>
  </si>
  <si>
    <t>尉犁县</t>
  </si>
  <si>
    <t>若羌县</t>
  </si>
  <si>
    <t>且末县</t>
  </si>
  <si>
    <t>焉耆县</t>
  </si>
  <si>
    <t>和静县</t>
  </si>
  <si>
    <t>和硕县</t>
  </si>
  <si>
    <t>博湖县</t>
  </si>
  <si>
    <t>十一</t>
  </si>
  <si>
    <t>阿克苏地区</t>
  </si>
  <si>
    <t>阿克苏市</t>
  </si>
  <si>
    <t>库车县</t>
  </si>
  <si>
    <t>沙雅县</t>
  </si>
  <si>
    <t>新和县</t>
  </si>
  <si>
    <t>拜城县</t>
  </si>
  <si>
    <t>阿瓦提县</t>
  </si>
  <si>
    <t>柯坪县</t>
  </si>
  <si>
    <t>温宿县</t>
  </si>
  <si>
    <t>乌什县</t>
  </si>
  <si>
    <t>十二</t>
  </si>
  <si>
    <r>
      <rPr>
        <b/>
        <sz val="11"/>
        <rFont val="宋体"/>
        <charset val="134"/>
      </rPr>
      <t>克</t>
    </r>
    <r>
      <rPr>
        <b/>
        <sz val="11"/>
        <color rgb="FF000000"/>
        <rFont val="Times New Roman"/>
        <charset val="134"/>
      </rPr>
      <t xml:space="preserve">  </t>
    </r>
    <r>
      <rPr>
        <b/>
        <sz val="11"/>
        <color rgb="FF000000"/>
        <rFont val="宋体"/>
        <charset val="134"/>
      </rPr>
      <t>州</t>
    </r>
  </si>
  <si>
    <t>阿图什市</t>
  </si>
  <si>
    <t>阿克陶县</t>
  </si>
  <si>
    <t>阿合奇县</t>
  </si>
  <si>
    <t>乌恰县</t>
  </si>
  <si>
    <t>十三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</si>
  <si>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</si>
  <si>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</si>
  <si>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</si>
  <si>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</si>
  <si>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</si>
  <si>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</si>
  <si>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</si>
  <si>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麦盖提县</t>
  </si>
  <si>
    <t>岳普湖县</t>
  </si>
  <si>
    <t>伽师县</t>
  </si>
  <si>
    <t>巴楚县</t>
  </si>
  <si>
    <t>叶城县</t>
  </si>
  <si>
    <t>塔什库尔干县</t>
  </si>
  <si>
    <t>十四</t>
  </si>
  <si>
    <t>和田地区</t>
  </si>
  <si>
    <t>和田市</t>
  </si>
  <si>
    <t>墨玉县</t>
  </si>
  <si>
    <t>洛浦县</t>
  </si>
  <si>
    <t>策勒县</t>
  </si>
  <si>
    <t>于田县</t>
  </si>
  <si>
    <t>民丰县</t>
  </si>
  <si>
    <t>和田县</t>
  </si>
  <si>
    <t>皮山县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</si>
  <si>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2</t>
    </r>
  </si>
  <si>
    <t>2021年贫困县资金因素法分配测算表</t>
  </si>
  <si>
    <t>单位：万元</t>
  </si>
  <si>
    <t>地区、县市名称</t>
  </si>
  <si>
    <r>
      <rPr>
        <sz val="11"/>
        <rFont val="Times New Roman"/>
        <charset val="134"/>
      </rPr>
      <t>2018</t>
    </r>
    <r>
      <rPr>
        <sz val="11"/>
        <rFont val="方正小标宋简体"/>
        <charset val="134"/>
      </rPr>
      <t>年地方人均财力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权重</t>
    </r>
    <r>
      <rPr>
        <sz val="11"/>
        <rFont val="Times New Roman"/>
        <charset val="134"/>
      </rPr>
      <t>25%</t>
    </r>
  </si>
  <si>
    <r>
      <rPr>
        <sz val="11"/>
        <rFont val="Times New Roman"/>
        <charset val="134"/>
      </rPr>
      <t>2019</t>
    </r>
    <r>
      <rPr>
        <sz val="11"/>
        <rFont val="方正小标宋简体"/>
        <charset val="134"/>
      </rPr>
      <t>年底建档立卡贫困村总规模权重</t>
    </r>
    <r>
      <rPr>
        <sz val="11"/>
        <rFont val="Times New Roman"/>
        <charset val="134"/>
      </rPr>
      <t>25%</t>
    </r>
  </si>
  <si>
    <r>
      <rPr>
        <sz val="11"/>
        <rFont val="Times New Roman"/>
        <charset val="134"/>
      </rPr>
      <t>2019</t>
    </r>
    <r>
      <rPr>
        <sz val="11"/>
        <rFont val="方正小标宋简体"/>
        <charset val="134"/>
      </rPr>
      <t>年底建档立卡贫困人口总规模权重</t>
    </r>
    <r>
      <rPr>
        <sz val="11"/>
        <rFont val="Times New Roman"/>
        <charset val="134"/>
      </rPr>
      <t>40%</t>
    </r>
  </si>
  <si>
    <r>
      <rPr>
        <sz val="11"/>
        <rFont val="方正小标宋简体"/>
        <charset val="134"/>
      </rPr>
      <t>边境县</t>
    </r>
    <r>
      <rPr>
        <sz val="11"/>
        <rFont val="Times New Roman"/>
        <charset val="134"/>
      </rPr>
      <t xml:space="preserve">
10%</t>
    </r>
  </si>
  <si>
    <r>
      <rPr>
        <sz val="11"/>
        <rFont val="方正小标宋简体"/>
        <charset val="134"/>
      </rPr>
      <t>测</t>
    </r>
    <r>
      <rPr>
        <sz val="11"/>
        <rFont val="Times New Roman"/>
        <charset val="134"/>
      </rPr>
      <t xml:space="preserve">  </t>
    </r>
    <r>
      <rPr>
        <sz val="11"/>
        <rFont val="方正小标宋简体"/>
        <charset val="134"/>
      </rPr>
      <t>算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资金数</t>
    </r>
  </si>
  <si>
    <r>
      <rPr>
        <sz val="11"/>
        <rFont val="方正小标宋简体"/>
        <charset val="134"/>
      </rPr>
      <t>分</t>
    </r>
    <r>
      <rPr>
        <sz val="11"/>
        <rFont val="Times New Roman"/>
        <charset val="134"/>
      </rPr>
      <t xml:space="preserve">  </t>
    </r>
    <r>
      <rPr>
        <sz val="11"/>
        <rFont val="方正小标宋简体"/>
        <charset val="134"/>
      </rPr>
      <t>配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资金数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（取整）</t>
    </r>
  </si>
  <si>
    <t>元</t>
  </si>
  <si>
    <r>
      <rPr>
        <sz val="11"/>
        <rFont val="方正小标宋简体"/>
        <charset val="134"/>
      </rPr>
      <t>倒比例</t>
    </r>
    <r>
      <rPr>
        <sz val="11"/>
        <rFont val="Times New Roman"/>
        <charset val="134"/>
      </rPr>
      <t>%</t>
    </r>
  </si>
  <si>
    <t>资金</t>
  </si>
  <si>
    <t>个</t>
  </si>
  <si>
    <t>人</t>
  </si>
  <si>
    <r>
      <rPr>
        <b/>
        <sz val="11"/>
        <rFont val="黑体"/>
        <charset val="134"/>
      </rPr>
      <t>合</t>
    </r>
    <r>
      <rPr>
        <b/>
        <sz val="11"/>
        <rFont val="Times New Roman"/>
        <charset val="134"/>
      </rPr>
      <t xml:space="preserve">       </t>
    </r>
    <r>
      <rPr>
        <b/>
        <sz val="11"/>
        <rFont val="黑体"/>
        <charset val="134"/>
      </rPr>
      <t>计</t>
    </r>
  </si>
  <si>
    <t>克州</t>
  </si>
  <si>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3</t>
    </r>
  </si>
  <si>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年深度贫困县专项资金因素测算表</t>
    </r>
  </si>
  <si>
    <r>
      <rPr>
        <sz val="12"/>
        <color theme="0"/>
        <rFont val="宋体"/>
        <charset val="134"/>
      </rPr>
      <t>总</t>
    </r>
    <r>
      <rPr>
        <sz val="12"/>
        <color theme="0"/>
        <rFont val="Times New Roman"/>
        <charset val="134"/>
      </rPr>
      <t>46000</t>
    </r>
  </si>
  <si>
    <r>
      <rPr>
        <sz val="12"/>
        <rFont val="宋体"/>
        <charset val="134"/>
      </rPr>
      <t>单位：万元</t>
    </r>
  </si>
  <si>
    <r>
      <rPr>
        <sz val="11"/>
        <rFont val="方正小标宋简体"/>
        <charset val="134"/>
      </rPr>
      <t>序号</t>
    </r>
  </si>
  <si>
    <r>
      <rPr>
        <sz val="11"/>
        <rFont val="方正小标宋简体"/>
        <charset val="134"/>
      </rPr>
      <t>地区、县市名称</t>
    </r>
  </si>
  <si>
    <r>
      <rPr>
        <sz val="11"/>
        <rFont val="Times New Roman"/>
        <charset val="134"/>
      </rPr>
      <t>2018</t>
    </r>
    <r>
      <rPr>
        <sz val="11"/>
        <rFont val="方正小标宋简体"/>
        <charset val="134"/>
      </rPr>
      <t>年底地方人均财力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权重</t>
    </r>
    <r>
      <rPr>
        <sz val="11"/>
        <rFont val="Times New Roman"/>
        <charset val="134"/>
      </rPr>
      <t>25%</t>
    </r>
  </si>
  <si>
    <r>
      <rPr>
        <sz val="11"/>
        <rFont val="Times New Roman"/>
        <charset val="134"/>
      </rPr>
      <t>2019</t>
    </r>
    <r>
      <rPr>
        <sz val="11"/>
        <rFont val="方正小标宋简体"/>
        <charset val="134"/>
      </rPr>
      <t>年建档立卡贫困</t>
    </r>
    <r>
      <rPr>
        <sz val="11"/>
        <rFont val="Times New Roman"/>
        <charset val="134"/>
      </rPr>
      <t xml:space="preserve">
</t>
    </r>
    <r>
      <rPr>
        <sz val="11"/>
        <rFont val="方正小标宋简体"/>
        <charset val="134"/>
      </rPr>
      <t>村总规模权重</t>
    </r>
    <r>
      <rPr>
        <sz val="11"/>
        <rFont val="Times New Roman"/>
        <charset val="134"/>
      </rPr>
      <t>25%</t>
    </r>
  </si>
  <si>
    <r>
      <rPr>
        <sz val="11"/>
        <rFont val="方正小标宋简体"/>
        <charset val="134"/>
      </rPr>
      <t>元</t>
    </r>
  </si>
  <si>
    <r>
      <rPr>
        <sz val="11"/>
        <rFont val="方正小标宋简体"/>
        <charset val="134"/>
      </rPr>
      <t>资金</t>
    </r>
  </si>
  <si>
    <r>
      <rPr>
        <sz val="11"/>
        <rFont val="方正小标宋简体"/>
        <charset val="134"/>
      </rPr>
      <t>个</t>
    </r>
  </si>
  <si>
    <r>
      <rPr>
        <sz val="11"/>
        <rFont val="方正小标宋简体"/>
        <charset val="134"/>
      </rPr>
      <t>人</t>
    </r>
  </si>
  <si>
    <r>
      <rPr>
        <b/>
        <sz val="11"/>
        <rFont val="宋体"/>
        <charset val="134"/>
      </rPr>
      <t>合</t>
    </r>
    <r>
      <rPr>
        <b/>
        <sz val="11"/>
        <rFont val="Times New Roman"/>
        <charset val="134"/>
      </rPr>
      <t xml:space="preserve">       </t>
    </r>
    <r>
      <rPr>
        <b/>
        <sz val="11"/>
        <rFont val="宋体"/>
        <charset val="134"/>
      </rPr>
      <t>计</t>
    </r>
  </si>
  <si>
    <r>
      <rPr>
        <b/>
        <sz val="12"/>
        <rFont val="宋体"/>
        <charset val="134"/>
      </rPr>
      <t>一</t>
    </r>
  </si>
  <si>
    <r>
      <rPr>
        <b/>
        <sz val="11"/>
        <rFont val="宋体"/>
        <charset val="134"/>
      </rPr>
      <t>和田地区</t>
    </r>
  </si>
  <si>
    <r>
      <rPr>
        <sz val="11"/>
        <rFont val="宋体"/>
        <charset val="134"/>
      </rPr>
      <t>和田县</t>
    </r>
  </si>
  <si>
    <r>
      <rPr>
        <sz val="11"/>
        <rFont val="宋体"/>
        <charset val="134"/>
      </rPr>
      <t>墨玉县</t>
    </r>
  </si>
  <si>
    <r>
      <rPr>
        <sz val="11"/>
        <rFont val="宋体"/>
        <charset val="134"/>
      </rPr>
      <t>皮山县</t>
    </r>
  </si>
  <si>
    <r>
      <rPr>
        <sz val="11"/>
        <rFont val="宋体"/>
        <charset val="134"/>
      </rPr>
      <t>洛浦县</t>
    </r>
  </si>
  <si>
    <r>
      <rPr>
        <sz val="11"/>
        <rFont val="宋体"/>
        <charset val="134"/>
      </rPr>
      <t>策勒县</t>
    </r>
  </si>
  <si>
    <r>
      <rPr>
        <sz val="11"/>
        <rFont val="宋体"/>
        <charset val="134"/>
      </rPr>
      <t>于田县</t>
    </r>
  </si>
  <si>
    <r>
      <rPr>
        <sz val="11"/>
        <rFont val="宋体"/>
        <charset val="134"/>
      </rPr>
      <t>和田市</t>
    </r>
  </si>
  <si>
    <r>
      <rPr>
        <b/>
        <sz val="12"/>
        <rFont val="宋体"/>
        <charset val="134"/>
      </rPr>
      <t>二</t>
    </r>
  </si>
  <si>
    <r>
      <rPr>
        <b/>
        <sz val="11"/>
        <rFont val="宋体"/>
        <charset val="134"/>
      </rPr>
      <t>喀什地区</t>
    </r>
  </si>
  <si>
    <r>
      <rPr>
        <sz val="11"/>
        <rFont val="宋体"/>
        <charset val="134"/>
      </rPr>
      <t>疏附县</t>
    </r>
  </si>
  <si>
    <r>
      <rPr>
        <sz val="11"/>
        <rFont val="宋体"/>
        <charset val="134"/>
      </rPr>
      <t>疏勒县</t>
    </r>
  </si>
  <si>
    <r>
      <rPr>
        <sz val="11"/>
        <rFont val="宋体"/>
        <charset val="134"/>
      </rPr>
      <t>英吉沙县</t>
    </r>
  </si>
  <si>
    <r>
      <rPr>
        <sz val="11"/>
        <rFont val="宋体"/>
        <charset val="134"/>
      </rPr>
      <t>莎车县</t>
    </r>
  </si>
  <si>
    <r>
      <rPr>
        <sz val="11"/>
        <rFont val="宋体"/>
        <charset val="134"/>
      </rPr>
      <t>叶城县</t>
    </r>
  </si>
  <si>
    <r>
      <rPr>
        <sz val="11"/>
        <rFont val="宋体"/>
        <charset val="134"/>
      </rPr>
      <t>岳普湖县</t>
    </r>
  </si>
  <si>
    <r>
      <rPr>
        <sz val="11"/>
        <rFont val="宋体"/>
        <charset val="134"/>
      </rPr>
      <t>伽师县</t>
    </r>
  </si>
  <si>
    <r>
      <rPr>
        <sz val="11"/>
        <rFont val="宋体"/>
        <charset val="134"/>
      </rPr>
      <t>塔什库尔干县</t>
    </r>
  </si>
  <si>
    <r>
      <rPr>
        <sz val="11"/>
        <rFont val="宋体"/>
        <charset val="134"/>
      </rPr>
      <t>麦盖提县</t>
    </r>
  </si>
  <si>
    <r>
      <rPr>
        <sz val="11"/>
        <rFont val="宋体"/>
        <charset val="134"/>
      </rPr>
      <t>巴楚县</t>
    </r>
  </si>
  <si>
    <r>
      <rPr>
        <sz val="11"/>
        <rFont val="宋体"/>
        <charset val="134"/>
      </rPr>
      <t>喀什市</t>
    </r>
  </si>
  <si>
    <r>
      <rPr>
        <b/>
        <sz val="12"/>
        <rFont val="宋体"/>
        <charset val="134"/>
      </rPr>
      <t>三</t>
    </r>
  </si>
  <si>
    <r>
      <rPr>
        <b/>
        <sz val="11"/>
        <rFont val="宋体"/>
        <charset val="134"/>
      </rPr>
      <t>克</t>
    </r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州</t>
    </r>
  </si>
  <si>
    <r>
      <rPr>
        <sz val="11"/>
        <rFont val="宋体"/>
        <charset val="134"/>
      </rPr>
      <t>阿图什市</t>
    </r>
  </si>
  <si>
    <r>
      <rPr>
        <sz val="11"/>
        <rFont val="宋体"/>
        <charset val="134"/>
      </rPr>
      <t>阿克陶县</t>
    </r>
  </si>
  <si>
    <r>
      <rPr>
        <b/>
        <sz val="12"/>
        <rFont val="宋体"/>
        <charset val="134"/>
      </rPr>
      <t>四</t>
    </r>
  </si>
  <si>
    <r>
      <rPr>
        <b/>
        <sz val="11"/>
        <rFont val="宋体"/>
        <charset val="134"/>
      </rPr>
      <t>阿克苏地区</t>
    </r>
  </si>
  <si>
    <r>
      <rPr>
        <sz val="11"/>
        <rFont val="宋体"/>
        <charset val="134"/>
      </rPr>
      <t>乌什县</t>
    </r>
  </si>
  <si>
    <r>
      <rPr>
        <sz val="11"/>
        <rFont val="宋体"/>
        <charset val="134"/>
      </rPr>
      <t>柯坪县</t>
    </r>
  </si>
  <si>
    <t>附件4</t>
  </si>
  <si>
    <r>
      <rPr>
        <sz val="24"/>
        <rFont val="Times New Roman"/>
        <charset val="134"/>
      </rPr>
      <t>2021</t>
    </r>
    <r>
      <rPr>
        <sz val="24"/>
        <color rgb="FF000000"/>
        <rFont val="方正小标宋简体"/>
        <charset val="134"/>
      </rPr>
      <t>年中央财政衔接推进乡村振兴补助资金因素分配测算表</t>
    </r>
  </si>
  <si>
    <t>单位：</t>
  </si>
  <si>
    <t>万元</t>
  </si>
  <si>
    <t>少数民族人口数权重（30%）</t>
  </si>
  <si>
    <t>农村居民可支配收入（30%）</t>
  </si>
  <si>
    <t>政策因素
合计</t>
  </si>
  <si>
    <t>政策因素（30%）</t>
  </si>
  <si>
    <t>绩效考核合计</t>
  </si>
  <si>
    <t>资金绩效考核（10%）</t>
  </si>
  <si>
    <r>
      <rPr>
        <sz val="12"/>
        <rFont val="方正小标宋简体"/>
        <charset val="134"/>
      </rPr>
      <t>测算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小标宋简体"/>
        <charset val="134"/>
      </rPr>
      <t>资金数</t>
    </r>
  </si>
  <si>
    <r>
      <rPr>
        <b/>
        <sz val="12"/>
        <rFont val="宋体"/>
        <charset val="134"/>
      </rPr>
      <t>基</t>
    </r>
    <r>
      <rPr>
        <b/>
        <sz val="12"/>
        <color rgb="FF000000"/>
        <rFont val="Times New Roman"/>
        <charset val="134"/>
      </rPr>
      <t xml:space="preserve">  </t>
    </r>
    <r>
      <rPr>
        <sz val="12"/>
        <color rgb="FF000000"/>
        <rFont val="方正小标宋简体"/>
        <charset val="134"/>
      </rPr>
      <t>础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小标宋简体"/>
        <charset val="134"/>
      </rPr>
      <t>资金数</t>
    </r>
  </si>
  <si>
    <t>调减比例</t>
  </si>
  <si>
    <r>
      <rPr>
        <sz val="12"/>
        <rFont val="方正小标宋简体"/>
        <charset val="134"/>
      </rPr>
      <t>调</t>
    </r>
    <r>
      <rPr>
        <sz val="12"/>
        <color rgb="FF000000"/>
        <rFont val="方正小标宋简体"/>
        <charset val="134"/>
      </rPr>
      <t xml:space="preserve"> 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小标宋简体"/>
        <charset val="134"/>
      </rPr>
      <t>整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小标宋简体"/>
        <charset val="134"/>
      </rPr>
      <t>资金数</t>
    </r>
  </si>
  <si>
    <t>边境线长度
（20%）</t>
  </si>
  <si>
    <t>人口较少民族
聚居村
（5%）</t>
  </si>
  <si>
    <t>民族特色村寨（5%）</t>
  </si>
  <si>
    <t>财政资金绩效评价（5%）</t>
  </si>
  <si>
    <t>自治区党委考核（5%）</t>
  </si>
  <si>
    <t>收入</t>
  </si>
  <si>
    <t>倒比例</t>
  </si>
  <si>
    <t>政策资金</t>
  </si>
  <si>
    <t>公里</t>
  </si>
  <si>
    <t>个数</t>
  </si>
  <si>
    <t>绩效资金</t>
  </si>
  <si>
    <t>评价</t>
  </si>
  <si>
    <r>
      <rPr>
        <b/>
        <sz val="11"/>
        <rFont val="宋体"/>
        <charset val="134"/>
      </rPr>
      <t>总</t>
    </r>
    <r>
      <rPr>
        <b/>
        <sz val="11"/>
        <color rgb="FF000000"/>
        <rFont val="Times New Roman"/>
        <charset val="134"/>
      </rPr>
      <t xml:space="preserve">   </t>
    </r>
    <r>
      <rPr>
        <b/>
        <sz val="11"/>
        <color rgb="FF000000"/>
        <rFont val="宋体"/>
        <charset val="134"/>
      </rPr>
      <t>合</t>
    </r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</si>
  <si>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5</t>
    </r>
  </si>
  <si>
    <t>2021年中央财政衔接推进乡村振兴补助资金比例</t>
  </si>
  <si>
    <t>项目名称</t>
  </si>
  <si>
    <t>提前下达少数民族
发展资金</t>
  </si>
  <si>
    <t>本次下达   
衔接资金</t>
  </si>
  <si>
    <t>2021年总资
金额度</t>
  </si>
  <si>
    <t>占当年总
资金比例</t>
  </si>
  <si>
    <r>
      <rPr>
        <sz val="11"/>
        <color rgb="FF000000"/>
        <rFont val="Times New Roman"/>
        <charset val="134"/>
      </rPr>
      <t>2021</t>
    </r>
    <r>
      <rPr>
        <sz val="11"/>
        <color rgb="FF000000"/>
        <rFont val="宋体"/>
        <charset val="134"/>
      </rPr>
      <t>年中央财政衔接推进乡村振兴补助资金</t>
    </r>
  </si>
  <si>
    <r>
      <rPr>
        <sz val="11"/>
        <color rgb="FF000000"/>
        <rFont val="宋体"/>
        <charset val="134"/>
      </rPr>
      <t>用于：南疆四地州</t>
    </r>
  </si>
  <si>
    <r>
      <rPr>
        <sz val="11"/>
        <color rgb="FF000000"/>
        <rFont val="宋体"/>
        <charset val="134"/>
      </rPr>
      <t>用于：</t>
    </r>
    <r>
      <rPr>
        <sz val="11"/>
        <color rgb="FF000000"/>
        <rFont val="Times New Roman"/>
        <charset val="134"/>
      </rPr>
      <t>22</t>
    </r>
    <r>
      <rPr>
        <sz val="11"/>
        <color rgb="FF000000"/>
        <rFont val="宋体"/>
        <charset val="134"/>
      </rPr>
      <t>个深度贫困县市</t>
    </r>
  </si>
  <si>
    <r>
      <rPr>
        <sz val="11"/>
        <color rgb="FF000000"/>
        <rFont val="宋体"/>
        <charset val="134"/>
      </rPr>
      <t>用于：</t>
    </r>
    <r>
      <rPr>
        <sz val="11"/>
        <color rgb="FF000000"/>
        <rFont val="Times New Roman"/>
        <charset val="134"/>
      </rPr>
      <t>32</t>
    </r>
    <r>
      <rPr>
        <sz val="11"/>
        <color rgb="FF000000"/>
        <rFont val="宋体"/>
        <charset val="134"/>
      </rPr>
      <t>个涉农资金整合县市</t>
    </r>
  </si>
</sst>
</file>

<file path=xl/styles.xml><?xml version="1.0" encoding="utf-8"?>
<styleSheet xmlns="http://schemas.openxmlformats.org/spreadsheetml/2006/main">
  <numFmts count="11">
    <numFmt numFmtId="176" formatCode="0.000%"/>
    <numFmt numFmtId="177" formatCode="0.0_);[Red]\(0.0\)"/>
    <numFmt numFmtId="43" formatCode="_ * #,##0.00_ ;_ * \-#,##0.00_ ;_ * &quot;-&quot;??_ ;_ @_ "/>
    <numFmt numFmtId="178" formatCode="0.0_ "/>
    <numFmt numFmtId="44" formatCode="_ &quot;￥&quot;* #,##0.00_ ;_ &quot;￥&quot;* \-#,##0.00_ ;_ &quot;￥&quot;* &quot;-&quot;??_ ;_ @_ "/>
    <numFmt numFmtId="179" formatCode="0.00_ "/>
    <numFmt numFmtId="180" formatCode="0_);[Red]\(0\)"/>
    <numFmt numFmtId="41" formatCode="_ * #,##0_ ;_ * \-#,##0_ ;_ * &quot;-&quot;_ ;_ @_ "/>
    <numFmt numFmtId="181" formatCode="0_ "/>
    <numFmt numFmtId="182" formatCode="0.00_);[Red]\(0.00\)"/>
    <numFmt numFmtId="42" formatCode="_ &quot;￥&quot;* #,##0_ ;_ &quot;￥&quot;* \-#,##0_ ;_ &quot;￥&quot;* &quot;-&quot;_ ;_ @_ "/>
  </numFmts>
  <fonts count="72"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Times New Roman"/>
      <charset val="134"/>
    </font>
    <font>
      <sz val="16"/>
      <color rgb="FF000000"/>
      <name val="黑体"/>
      <charset val="134"/>
    </font>
    <font>
      <sz val="16"/>
      <color rgb="FF000000"/>
      <name val="Times New Roman"/>
      <charset val="134"/>
    </font>
    <font>
      <sz val="24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方正小标宋简体"/>
      <charset val="134"/>
    </font>
    <font>
      <sz val="12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24"/>
      <name val="Times New Roman"/>
      <charset val="134"/>
    </font>
    <font>
      <sz val="24"/>
      <color rgb="FF000000"/>
      <name val="Times New Roman"/>
      <charset val="134"/>
    </font>
    <font>
      <sz val="12"/>
      <color theme="0"/>
      <name val="Times New Roman"/>
      <charset val="134"/>
    </font>
    <font>
      <sz val="11"/>
      <color rgb="FF000000"/>
      <name val="黑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2"/>
      <name val="方正小标宋简体"/>
      <charset val="134"/>
    </font>
    <font>
      <b/>
      <sz val="12"/>
      <color rgb="FF000000"/>
      <name val="Times New Roman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6"/>
      <name val="Times New Roman"/>
      <charset val="134"/>
    </font>
    <font>
      <b/>
      <sz val="11"/>
      <name val="Times New Roman"/>
      <charset val="134"/>
    </font>
    <font>
      <b/>
      <sz val="12"/>
      <name val="Times New Roman"/>
      <charset val="134"/>
    </font>
    <font>
      <sz val="11"/>
      <color theme="1"/>
      <name val="Times New Roman"/>
      <charset val="134"/>
    </font>
    <font>
      <sz val="12"/>
      <color theme="0"/>
      <name val="宋体"/>
      <charset val="134"/>
    </font>
    <font>
      <sz val="24"/>
      <name val="方正小标宋简体"/>
      <charset val="134"/>
    </font>
    <font>
      <sz val="11"/>
      <color theme="0"/>
      <name val="Times New Roman"/>
      <charset val="134"/>
    </font>
    <font>
      <b/>
      <sz val="11"/>
      <color theme="0"/>
      <name val="Times New Roman"/>
      <charset val="134"/>
    </font>
    <font>
      <sz val="11"/>
      <name val="方正小标宋简体"/>
      <charset val="134"/>
    </font>
    <font>
      <b/>
      <sz val="11"/>
      <name val="黑体"/>
      <charset val="134"/>
    </font>
    <font>
      <sz val="11"/>
      <name val="宋体"/>
      <charset val="134"/>
    </font>
    <font>
      <sz val="22"/>
      <color rgb="FF000000"/>
      <name val="Times New Roman"/>
      <charset val="134"/>
    </font>
    <font>
      <sz val="11"/>
      <color rgb="FF000000"/>
      <name val="方正小标宋简体"/>
      <charset val="134"/>
    </font>
    <font>
      <b/>
      <sz val="12"/>
      <color rgb="FF000000"/>
      <name val="黑体"/>
      <charset val="134"/>
    </font>
    <font>
      <b/>
      <sz val="11"/>
      <color rgb="FFFF9900"/>
      <name val="宋体"/>
      <charset val="134"/>
    </font>
    <font>
      <sz val="12"/>
      <name val="宋体"/>
      <charset val="134"/>
    </font>
    <font>
      <sz val="11"/>
      <color rgb="FFFFFFFF"/>
      <name val="宋体"/>
      <charset val="134"/>
    </font>
    <font>
      <b/>
      <sz val="11"/>
      <color rgb="FF333333"/>
      <name val="宋体"/>
      <charset val="134"/>
    </font>
    <font>
      <b/>
      <sz val="11"/>
      <color rgb="FF003366"/>
      <name val="宋体"/>
      <charset val="134"/>
    </font>
    <font>
      <sz val="11"/>
      <color rgb="FFFF99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rgb="FF003366"/>
      <name val="宋体"/>
      <charset val="134"/>
    </font>
    <font>
      <b/>
      <sz val="13"/>
      <color rgb="FF003366"/>
      <name val="宋体"/>
      <charset val="134"/>
    </font>
    <font>
      <b/>
      <sz val="11"/>
      <color rgb="FFFFFFFF"/>
      <name val="宋体"/>
      <charset val="134"/>
    </font>
    <font>
      <sz val="11"/>
      <color theme="1"/>
      <name val="宋体"/>
      <charset val="134"/>
      <scheme val="minor"/>
    </font>
    <font>
      <sz val="11"/>
      <color rgb="FF800080"/>
      <name val="宋体"/>
      <charset val="134"/>
    </font>
    <font>
      <sz val="11"/>
      <color rgb="FF993300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80808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rgb="FF003366"/>
      <name val="宋体"/>
      <charset val="134"/>
    </font>
    <font>
      <sz val="11"/>
      <color rgb="FF333399"/>
      <name val="宋体"/>
      <charset val="134"/>
    </font>
    <font>
      <sz val="11"/>
      <color rgb="FF008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黑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0">
    <xf numFmtId="0" fontId="0" fillId="0" borderId="0">
      <alignment vertical="center"/>
    </xf>
    <xf numFmtId="0" fontId="38" fillId="10" borderId="0">
      <alignment vertical="center"/>
    </xf>
    <xf numFmtId="0" fontId="50" fillId="26" borderId="0">
      <alignment vertical="center"/>
    </xf>
    <xf numFmtId="0" fontId="38" fillId="25" borderId="0">
      <alignment vertical="center"/>
    </xf>
    <xf numFmtId="0" fontId="0" fillId="45" borderId="28">
      <alignment vertical="center"/>
    </xf>
    <xf numFmtId="0" fontId="37" fillId="45" borderId="0">
      <alignment vertical="center"/>
    </xf>
    <xf numFmtId="0" fontId="65" fillId="21" borderId="13">
      <alignment vertical="center"/>
    </xf>
    <xf numFmtId="0" fontId="65" fillId="21" borderId="13">
      <alignment vertical="center"/>
    </xf>
    <xf numFmtId="0" fontId="51" fillId="28" borderId="0">
      <alignment vertical="center"/>
    </xf>
    <xf numFmtId="0" fontId="38" fillId="10" borderId="0">
      <alignment vertical="center"/>
    </xf>
    <xf numFmtId="0" fontId="38" fillId="6" borderId="0">
      <alignment vertical="center"/>
    </xf>
    <xf numFmtId="0" fontId="38" fillId="25" borderId="0">
      <alignment vertical="center"/>
    </xf>
    <xf numFmtId="0" fontId="50" fillId="26" borderId="0">
      <alignment vertical="center"/>
    </xf>
    <xf numFmtId="0" fontId="38" fillId="35" borderId="0">
      <alignment vertical="center"/>
    </xf>
    <xf numFmtId="0" fontId="37" fillId="0" borderId="0">
      <alignment vertical="center"/>
    </xf>
    <xf numFmtId="0" fontId="15" fillId="0" borderId="26">
      <alignment vertical="center"/>
    </xf>
    <xf numFmtId="0" fontId="65" fillId="21" borderId="13">
      <alignment vertical="center"/>
    </xf>
    <xf numFmtId="0" fontId="66" fillId="9" borderId="0">
      <alignment vertical="center"/>
    </xf>
    <xf numFmtId="0" fontId="66" fillId="9" borderId="0">
      <alignment vertical="center"/>
    </xf>
    <xf numFmtId="0" fontId="66" fillId="9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0" fillId="0" borderId="0">
      <alignment vertical="center"/>
    </xf>
    <xf numFmtId="0" fontId="37" fillId="0" borderId="0"/>
    <xf numFmtId="0" fontId="40" fillId="0" borderId="0">
      <alignment vertical="center"/>
    </xf>
    <xf numFmtId="0" fontId="51" fillId="28" borderId="0">
      <alignment vertical="center"/>
    </xf>
    <xf numFmtId="0" fontId="38" fillId="10" borderId="0">
      <alignment vertical="center"/>
    </xf>
    <xf numFmtId="0" fontId="64" fillId="0" borderId="0">
      <alignment vertical="center"/>
    </xf>
    <xf numFmtId="0" fontId="38" fillId="25" borderId="0">
      <alignment vertical="center"/>
    </xf>
    <xf numFmtId="0" fontId="15" fillId="0" borderId="26">
      <alignment vertical="center"/>
    </xf>
    <xf numFmtId="0" fontId="15" fillId="0" borderId="26">
      <alignment vertical="center"/>
    </xf>
    <xf numFmtId="0" fontId="0" fillId="0" borderId="0"/>
    <xf numFmtId="0" fontId="0" fillId="11" borderId="0">
      <alignment vertical="center"/>
    </xf>
    <xf numFmtId="0" fontId="0" fillId="45" borderId="28">
      <alignment vertical="center"/>
    </xf>
    <xf numFmtId="0" fontId="38" fillId="10" borderId="0">
      <alignment vertical="center"/>
    </xf>
    <xf numFmtId="0" fontId="37" fillId="0" borderId="0">
      <alignment vertical="center"/>
    </xf>
    <xf numFmtId="0" fontId="38" fillId="33" borderId="0">
      <alignment vertical="center"/>
    </xf>
    <xf numFmtId="0" fontId="38" fillId="35" borderId="0">
      <alignment vertical="center"/>
    </xf>
    <xf numFmtId="0" fontId="0" fillId="26" borderId="0">
      <alignment vertical="center"/>
    </xf>
    <xf numFmtId="0" fontId="0" fillId="7" borderId="0">
      <alignment vertical="center"/>
    </xf>
    <xf numFmtId="0" fontId="38" fillId="33" borderId="0">
      <alignment vertical="center"/>
    </xf>
    <xf numFmtId="0" fontId="0" fillId="11" borderId="0">
      <alignment vertical="center"/>
    </xf>
    <xf numFmtId="0" fontId="38" fillId="35" borderId="0">
      <alignment vertical="center"/>
    </xf>
    <xf numFmtId="0" fontId="0" fillId="42" borderId="0">
      <alignment vertical="center"/>
    </xf>
    <xf numFmtId="0" fontId="38" fillId="33" borderId="0">
      <alignment vertical="center"/>
    </xf>
    <xf numFmtId="0" fontId="38" fillId="25" borderId="0">
      <alignment vertical="center"/>
    </xf>
    <xf numFmtId="0" fontId="0" fillId="11" borderId="0">
      <alignment vertical="center"/>
    </xf>
    <xf numFmtId="0" fontId="38" fillId="25" borderId="0">
      <alignment vertical="center"/>
    </xf>
    <xf numFmtId="0" fontId="0" fillId="42" borderId="0">
      <alignment vertical="center"/>
    </xf>
    <xf numFmtId="0" fontId="0" fillId="42" borderId="0">
      <alignment vertical="center"/>
    </xf>
    <xf numFmtId="0" fontId="0" fillId="20" borderId="0">
      <alignment vertical="center"/>
    </xf>
    <xf numFmtId="0" fontId="0" fillId="0" borderId="0">
      <alignment vertical="center"/>
    </xf>
    <xf numFmtId="0" fontId="0" fillId="20" borderId="0">
      <alignment vertical="center"/>
    </xf>
    <xf numFmtId="0" fontId="0" fillId="43" borderId="0">
      <alignment vertical="center"/>
    </xf>
    <xf numFmtId="0" fontId="0" fillId="34" borderId="0">
      <alignment vertical="center"/>
    </xf>
    <xf numFmtId="0" fontId="46" fillId="0" borderId="17">
      <alignment vertical="center"/>
    </xf>
    <xf numFmtId="0" fontId="37" fillId="0" borderId="0">
      <alignment vertical="center"/>
    </xf>
    <xf numFmtId="0" fontId="0" fillId="20" borderId="0">
      <alignment vertical="center"/>
    </xf>
    <xf numFmtId="0" fontId="0" fillId="20" borderId="0">
      <alignment vertical="center"/>
    </xf>
    <xf numFmtId="0" fontId="0" fillId="26" borderId="0">
      <alignment vertical="center"/>
    </xf>
    <xf numFmtId="0" fontId="39" fillId="5" borderId="14">
      <alignment vertical="center"/>
    </xf>
    <xf numFmtId="0" fontId="61" fillId="0" borderId="0">
      <alignment vertical="center"/>
    </xf>
    <xf numFmtId="0" fontId="37" fillId="0" borderId="0">
      <alignment vertical="center"/>
    </xf>
    <xf numFmtId="0" fontId="43" fillId="46" borderId="0" applyNumberFormat="false" applyBorder="false" applyAlignment="false" applyProtection="false">
      <alignment vertical="center"/>
    </xf>
    <xf numFmtId="0" fontId="40" fillId="0" borderId="20">
      <alignment vertical="center"/>
    </xf>
    <xf numFmtId="0" fontId="42" fillId="52" borderId="0" applyNumberFormat="false" applyBorder="false" applyAlignment="false" applyProtection="false">
      <alignment vertical="center"/>
    </xf>
    <xf numFmtId="0" fontId="43" fillId="47" borderId="0" applyNumberFormat="false" applyBorder="false" applyAlignment="false" applyProtection="false">
      <alignment vertical="center"/>
    </xf>
    <xf numFmtId="0" fontId="68" fillId="21" borderId="27" applyNumberFormat="false" applyAlignment="false" applyProtection="false">
      <alignment vertical="center"/>
    </xf>
    <xf numFmtId="0" fontId="61" fillId="0" borderId="0">
      <alignment vertical="center"/>
    </xf>
    <xf numFmtId="0" fontId="0" fillId="0" borderId="0"/>
    <xf numFmtId="0" fontId="43" fillId="48" borderId="0" applyNumberFormat="false" applyBorder="false" applyAlignment="false" applyProtection="false">
      <alignment vertical="center"/>
    </xf>
    <xf numFmtId="0" fontId="37" fillId="0" borderId="0">
      <alignment vertical="center"/>
    </xf>
    <xf numFmtId="0" fontId="40" fillId="0" borderId="20">
      <alignment vertical="center"/>
    </xf>
    <xf numFmtId="0" fontId="42" fillId="49" borderId="0" applyNumberFormat="false" applyBorder="false" applyAlignment="false" applyProtection="false">
      <alignment vertical="center"/>
    </xf>
    <xf numFmtId="44" fontId="49" fillId="0" borderId="0" applyFont="false" applyFill="false" applyBorder="false" applyAlignment="false" applyProtection="false">
      <alignment vertical="center"/>
    </xf>
    <xf numFmtId="0" fontId="42" fillId="44" borderId="0" applyNumberFormat="false" applyBorder="false" applyAlignment="false" applyProtection="false">
      <alignment vertical="center"/>
    </xf>
    <xf numFmtId="0" fontId="0" fillId="0" borderId="0"/>
    <xf numFmtId="0" fontId="37" fillId="0" borderId="0"/>
    <xf numFmtId="0" fontId="42" fillId="38" borderId="0" applyNumberFormat="false" applyBorder="false" applyAlignment="false" applyProtection="false">
      <alignment vertical="center"/>
    </xf>
    <xf numFmtId="0" fontId="42" fillId="37" borderId="0" applyNumberFormat="false" applyBorder="false" applyAlignment="false" applyProtection="false">
      <alignment vertical="center"/>
    </xf>
    <xf numFmtId="0" fontId="42" fillId="53" borderId="0" applyNumberFormat="false" applyBorder="false" applyAlignment="false" applyProtection="false">
      <alignment vertical="center"/>
    </xf>
    <xf numFmtId="0" fontId="42" fillId="36" borderId="0" applyNumberFormat="false" applyBorder="false" applyAlignment="false" applyProtection="false">
      <alignment vertical="center"/>
    </xf>
    <xf numFmtId="9" fontId="49" fillId="0" borderId="0" applyFont="false" applyFill="false" applyBorder="false" applyAlignment="false" applyProtection="false">
      <alignment vertical="center"/>
    </xf>
    <xf numFmtId="0" fontId="69" fillId="41" borderId="27" applyNumberFormat="false" applyAlignment="false" applyProtection="false">
      <alignment vertical="center"/>
    </xf>
    <xf numFmtId="0" fontId="70" fillId="51" borderId="0" applyNumberFormat="false" applyBorder="false" applyAlignment="false" applyProtection="false">
      <alignment vertical="center"/>
    </xf>
    <xf numFmtId="0" fontId="63" fillId="39" borderId="0" applyNumberFormat="false" applyBorder="false" applyAlignment="false" applyProtection="false">
      <alignment vertical="center"/>
    </xf>
    <xf numFmtId="0" fontId="42" fillId="55" borderId="0" applyNumberFormat="false" applyBorder="false" applyAlignment="false" applyProtection="false">
      <alignment vertical="center"/>
    </xf>
    <xf numFmtId="0" fontId="49" fillId="45" borderId="29" applyNumberFormat="false" applyFont="false" applyAlignment="false" applyProtection="false">
      <alignment vertical="center"/>
    </xf>
    <xf numFmtId="0" fontId="36" fillId="5" borderId="13">
      <alignment vertical="center"/>
    </xf>
    <xf numFmtId="0" fontId="43" fillId="50" borderId="0" applyNumberFormat="false" applyBorder="false" applyAlignment="false" applyProtection="false">
      <alignment vertical="center"/>
    </xf>
    <xf numFmtId="0" fontId="64" fillId="0" borderId="0">
      <alignment vertical="center"/>
    </xf>
    <xf numFmtId="0" fontId="0" fillId="43" borderId="0">
      <alignment vertical="center"/>
    </xf>
    <xf numFmtId="42" fontId="49" fillId="0" borderId="0" applyFont="false" applyFill="false" applyBorder="false" applyAlignment="false" applyProtection="false">
      <alignment vertical="center"/>
    </xf>
    <xf numFmtId="0" fontId="61" fillId="0" borderId="0">
      <alignment vertical="center"/>
    </xf>
    <xf numFmtId="0" fontId="43" fillId="54" borderId="0" applyNumberFormat="false" applyBorder="false" applyAlignment="false" applyProtection="false">
      <alignment vertical="center"/>
    </xf>
    <xf numFmtId="0" fontId="37" fillId="0" borderId="0"/>
    <xf numFmtId="0" fontId="62" fillId="0" borderId="0" applyNumberFormat="false" applyFill="false" applyBorder="false" applyAlignment="false" applyProtection="false">
      <alignment vertical="center"/>
    </xf>
    <xf numFmtId="0" fontId="0" fillId="26" borderId="0">
      <alignment vertical="center"/>
    </xf>
    <xf numFmtId="0" fontId="58" fillId="0" borderId="22" applyNumberFormat="false" applyFill="false" applyAlignment="false" applyProtection="false">
      <alignment vertical="center"/>
    </xf>
    <xf numFmtId="0" fontId="43" fillId="32" borderId="0" applyNumberFormat="false" applyBorder="false" applyAlignment="false" applyProtection="false">
      <alignment vertical="center"/>
    </xf>
    <xf numFmtId="0" fontId="40" fillId="0" borderId="0">
      <alignment vertical="center"/>
    </xf>
    <xf numFmtId="0" fontId="57" fillId="0" borderId="0" applyNumberFormat="false" applyFill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43" fontId="49" fillId="0" borderId="0" applyFont="false" applyFill="false" applyBorder="false" applyAlignment="false" applyProtection="false">
      <alignment vertical="center"/>
    </xf>
    <xf numFmtId="0" fontId="55" fillId="0" borderId="0" applyNumberFormat="false" applyFill="false" applyBorder="false" applyAlignment="false" applyProtection="false">
      <alignment vertical="center"/>
    </xf>
    <xf numFmtId="0" fontId="42" fillId="31" borderId="0" applyNumberFormat="false" applyBorder="false" applyAlignment="false" applyProtection="false">
      <alignment vertical="center"/>
    </xf>
    <xf numFmtId="0" fontId="41" fillId="0" borderId="15">
      <alignment vertical="center"/>
    </xf>
    <xf numFmtId="0" fontId="0" fillId="11" borderId="0">
      <alignment vertical="center"/>
    </xf>
    <xf numFmtId="0" fontId="36" fillId="5" borderId="13">
      <alignment vertical="center"/>
    </xf>
    <xf numFmtId="0" fontId="43" fillId="30" borderId="0" applyNumberFormat="false" applyBorder="false" applyAlignment="false" applyProtection="false">
      <alignment vertical="center"/>
    </xf>
    <xf numFmtId="0" fontId="0" fillId="0" borderId="0"/>
    <xf numFmtId="0" fontId="43" fillId="29" borderId="0" applyNumberFormat="false" applyBorder="false" applyAlignment="false" applyProtection="false">
      <alignment vertical="center"/>
    </xf>
    <xf numFmtId="0" fontId="48" fillId="22" borderId="19">
      <alignment vertical="center"/>
    </xf>
    <xf numFmtId="0" fontId="54" fillId="0" borderId="21" applyNumberFormat="false" applyFill="false" applyAlignment="false" applyProtection="false">
      <alignment vertical="center"/>
    </xf>
    <xf numFmtId="0" fontId="48" fillId="22" borderId="19">
      <alignment vertical="center"/>
    </xf>
    <xf numFmtId="0" fontId="47" fillId="0" borderId="18">
      <alignment vertical="center"/>
    </xf>
    <xf numFmtId="0" fontId="0" fillId="21" borderId="0">
      <alignment vertical="center"/>
    </xf>
    <xf numFmtId="0" fontId="51" fillId="28" borderId="0">
      <alignment vertical="center"/>
    </xf>
    <xf numFmtId="0" fontId="38" fillId="15" borderId="0">
      <alignment vertical="center"/>
    </xf>
    <xf numFmtId="0" fontId="37" fillId="0" borderId="0">
      <alignment vertical="center"/>
    </xf>
    <xf numFmtId="0" fontId="62" fillId="0" borderId="24" applyNumberFormat="false" applyFill="false" applyAlignment="false" applyProtection="false">
      <alignment vertical="center"/>
    </xf>
    <xf numFmtId="0" fontId="40" fillId="0" borderId="20">
      <alignment vertical="center"/>
    </xf>
    <xf numFmtId="0" fontId="42" fillId="27" borderId="0" applyNumberFormat="false" applyBorder="false" applyAlignment="false" applyProtection="false">
      <alignment vertical="center"/>
    </xf>
    <xf numFmtId="0" fontId="50" fillId="26" borderId="0">
      <alignment vertical="center"/>
    </xf>
    <xf numFmtId="0" fontId="38" fillId="25" borderId="0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43" fillId="24" borderId="0" applyNumberFormat="false" applyBorder="false" applyAlignment="false" applyProtection="false">
      <alignment vertical="center"/>
    </xf>
    <xf numFmtId="0" fontId="38" fillId="8" borderId="0">
      <alignment vertical="center"/>
    </xf>
    <xf numFmtId="41" fontId="49" fillId="0" borderId="0" applyFont="false" applyFill="false" applyBorder="false" applyAlignment="false" applyProtection="false">
      <alignment vertical="center"/>
    </xf>
    <xf numFmtId="0" fontId="43" fillId="23" borderId="0" applyNumberFormat="false" applyBorder="false" applyAlignment="false" applyProtection="false">
      <alignment vertical="center"/>
    </xf>
    <xf numFmtId="0" fontId="38" fillId="10" borderId="0">
      <alignment vertical="center"/>
    </xf>
    <xf numFmtId="0" fontId="48" fillId="22" borderId="19">
      <alignment vertical="center"/>
    </xf>
    <xf numFmtId="0" fontId="47" fillId="0" borderId="18">
      <alignment vertical="center"/>
    </xf>
    <xf numFmtId="0" fontId="0" fillId="21" borderId="0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0" fillId="20" borderId="0">
      <alignment vertical="center"/>
    </xf>
    <xf numFmtId="0" fontId="38" fillId="15" borderId="0">
      <alignment vertical="center"/>
    </xf>
    <xf numFmtId="0" fontId="37" fillId="0" borderId="0"/>
    <xf numFmtId="0" fontId="43" fillId="19" borderId="0" applyNumberFormat="false" applyBorder="false" applyAlignment="false" applyProtection="false">
      <alignment vertical="center"/>
    </xf>
    <xf numFmtId="0" fontId="59" fillId="0" borderId="23" applyNumberFormat="false" applyFill="false" applyAlignment="false" applyProtection="false">
      <alignment vertical="center"/>
    </xf>
    <xf numFmtId="0" fontId="42" fillId="18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4" fillId="16" borderId="16" applyNumberFormat="false" applyAlignment="false" applyProtection="false">
      <alignment vertical="center"/>
    </xf>
    <xf numFmtId="0" fontId="67" fillId="41" borderId="25" applyNumberFormat="false" applyAlignment="false" applyProtection="false">
      <alignment vertical="center"/>
    </xf>
    <xf numFmtId="0" fontId="38" fillId="15" borderId="0">
      <alignment vertical="center"/>
    </xf>
    <xf numFmtId="0" fontId="60" fillId="0" borderId="23" applyNumberFormat="false" applyFill="false" applyAlignment="false" applyProtection="false">
      <alignment vertical="center"/>
    </xf>
    <xf numFmtId="0" fontId="43" fillId="14" borderId="0" applyNumberFormat="false" applyBorder="false" applyAlignment="false" applyProtection="false">
      <alignment vertical="center"/>
    </xf>
    <xf numFmtId="0" fontId="42" fillId="13" borderId="0" applyNumberFormat="false" applyBorder="false" applyAlignment="false" applyProtection="false">
      <alignment vertical="center"/>
    </xf>
    <xf numFmtId="0" fontId="0" fillId="43" borderId="0">
      <alignment vertical="center"/>
    </xf>
    <xf numFmtId="0" fontId="0" fillId="0" borderId="0">
      <alignment vertical="center"/>
    </xf>
    <xf numFmtId="0" fontId="64" fillId="0" borderId="0">
      <alignment vertical="center"/>
    </xf>
    <xf numFmtId="0" fontId="0" fillId="34" borderId="0">
      <alignment vertical="center"/>
    </xf>
    <xf numFmtId="0" fontId="46" fillId="0" borderId="17">
      <alignment vertical="center"/>
    </xf>
    <xf numFmtId="0" fontId="0" fillId="20" borderId="0">
      <alignment vertical="center"/>
    </xf>
    <xf numFmtId="0" fontId="0" fillId="9" borderId="0">
      <alignment vertical="center"/>
    </xf>
    <xf numFmtId="0" fontId="47" fillId="0" borderId="18">
      <alignment vertical="center"/>
    </xf>
    <xf numFmtId="0" fontId="0" fillId="21" borderId="0">
      <alignment vertical="center"/>
    </xf>
    <xf numFmtId="0" fontId="0" fillId="8" borderId="0">
      <alignment vertical="center"/>
    </xf>
    <xf numFmtId="0" fontId="0" fillId="9" borderId="0">
      <alignment vertical="center"/>
    </xf>
    <xf numFmtId="0" fontId="38" fillId="12" borderId="0">
      <alignment vertical="center"/>
    </xf>
    <xf numFmtId="0" fontId="0" fillId="7" borderId="0">
      <alignment vertical="center"/>
    </xf>
    <xf numFmtId="0" fontId="38" fillId="12" borderId="0">
      <alignment vertical="center"/>
    </xf>
    <xf numFmtId="0" fontId="0" fillId="11" borderId="0">
      <alignment vertical="center"/>
    </xf>
    <xf numFmtId="0" fontId="41" fillId="0" borderId="15">
      <alignment vertical="center"/>
    </xf>
    <xf numFmtId="0" fontId="38" fillId="12" borderId="0">
      <alignment vertical="center"/>
    </xf>
    <xf numFmtId="0" fontId="37" fillId="0" borderId="0">
      <alignment vertical="center"/>
    </xf>
    <xf numFmtId="0" fontId="38" fillId="6" borderId="0">
      <alignment vertical="center"/>
    </xf>
    <xf numFmtId="0" fontId="38" fillId="7" borderId="0">
      <alignment vertical="center"/>
    </xf>
    <xf numFmtId="0" fontId="0" fillId="8" borderId="0">
      <alignment vertical="center"/>
    </xf>
    <xf numFmtId="0" fontId="38" fillId="7" borderId="0">
      <alignment vertical="center"/>
    </xf>
    <xf numFmtId="0" fontId="38" fillId="8" borderId="0">
      <alignment vertical="center"/>
    </xf>
    <xf numFmtId="0" fontId="39" fillId="5" borderId="14">
      <alignment vertical="center"/>
    </xf>
    <xf numFmtId="0" fontId="0" fillId="11" borderId="0">
      <alignment vertical="center"/>
    </xf>
    <xf numFmtId="0" fontId="40" fillId="0" borderId="0">
      <alignment vertical="center"/>
    </xf>
    <xf numFmtId="0" fontId="1" fillId="0" borderId="0"/>
    <xf numFmtId="0" fontId="0" fillId="7" borderId="0">
      <alignment vertical="center"/>
    </xf>
    <xf numFmtId="0" fontId="0" fillId="34" borderId="0">
      <alignment vertical="center"/>
    </xf>
    <xf numFmtId="0" fontId="46" fillId="0" borderId="17">
      <alignment vertical="center"/>
    </xf>
    <xf numFmtId="0" fontId="38" fillId="10" borderId="0">
      <alignment vertical="center"/>
    </xf>
    <xf numFmtId="0" fontId="1" fillId="0" borderId="0">
      <alignment vertical="center"/>
    </xf>
    <xf numFmtId="0" fontId="39" fillId="5" borderId="14">
      <alignment vertical="center"/>
    </xf>
    <xf numFmtId="0" fontId="38" fillId="8" borderId="0">
      <alignment vertical="center"/>
    </xf>
    <xf numFmtId="0" fontId="0" fillId="9" borderId="0">
      <alignment vertical="center"/>
    </xf>
    <xf numFmtId="0" fontId="0" fillId="8" borderId="0">
      <alignment vertical="center"/>
    </xf>
    <xf numFmtId="0" fontId="38" fillId="7" borderId="0">
      <alignment vertical="center"/>
    </xf>
    <xf numFmtId="0" fontId="38" fillId="6" borderId="0">
      <alignment vertical="center"/>
    </xf>
    <xf numFmtId="0" fontId="37" fillId="0" borderId="0"/>
    <xf numFmtId="0" fontId="38" fillId="40" borderId="0">
      <alignment vertical="center"/>
    </xf>
    <xf numFmtId="0" fontId="41" fillId="0" borderId="15">
      <alignment vertical="center"/>
    </xf>
    <xf numFmtId="0" fontId="36" fillId="5" borderId="13">
      <alignment vertical="center"/>
    </xf>
  </cellStyleXfs>
  <cellXfs count="220"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Alignment="true">
      <alignment horizontal="left" vertical="center" wrapText="true"/>
    </xf>
    <xf numFmtId="0" fontId="4" fillId="0" borderId="0" xfId="0" applyFont="true" applyAlignment="true">
      <alignment horizontal="left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right" vertical="center" wrapText="true"/>
    </xf>
    <xf numFmtId="0" fontId="8" fillId="0" borderId="2" xfId="0" applyFont="true" applyBorder="true" applyAlignment="true">
      <alignment horizontal="center" vertical="center"/>
    </xf>
    <xf numFmtId="10" fontId="8" fillId="0" borderId="2" xfId="0" applyNumberFormat="true" applyFont="true" applyBorder="true" applyAlignment="true">
      <alignment horizontal="center" vertical="center"/>
    </xf>
    <xf numFmtId="179" fontId="8" fillId="0" borderId="0" xfId="0" applyNumberFormat="true" applyFont="true" applyFill="true" applyAlignment="true">
      <alignment horizontal="center" vertical="center" wrapText="true"/>
    </xf>
    <xf numFmtId="0" fontId="8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2" fillId="2" borderId="0" xfId="0" applyFont="true" applyFill="true" applyAlignment="true">
      <alignment vertical="center" wrapText="true"/>
    </xf>
    <xf numFmtId="0" fontId="9" fillId="2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179" fontId="2" fillId="0" borderId="0" xfId="0" applyNumberFormat="true" applyFont="true" applyFill="true" applyAlignment="true">
      <alignment vertical="center" wrapText="true"/>
    </xf>
    <xf numFmtId="10" fontId="2" fillId="0" borderId="0" xfId="0" applyNumberFormat="true" applyFont="true" applyFill="true" applyAlignment="true">
      <alignment vertical="center" wrapText="true"/>
    </xf>
    <xf numFmtId="181" fontId="2" fillId="0" borderId="0" xfId="0" applyNumberFormat="true" applyFont="true" applyFill="true" applyAlignment="true">
      <alignment vertical="center" wrapText="true"/>
    </xf>
    <xf numFmtId="9" fontId="2" fillId="0" borderId="0" xfId="0" applyNumberFormat="true" applyFont="true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left" vertical="center" wrapText="true"/>
    </xf>
    <xf numFmtId="179" fontId="4" fillId="0" borderId="0" xfId="0" applyNumberFormat="true" applyFont="true" applyFill="true" applyAlignment="true">
      <alignment horizontal="left" vertical="center" wrapText="true"/>
    </xf>
    <xf numFmtId="0" fontId="10" fillId="0" borderId="0" xfId="0" applyFont="true" applyFill="true" applyAlignment="true">
      <alignment horizontal="center" vertical="center" wrapText="true"/>
    </xf>
    <xf numFmtId="0" fontId="11" fillId="0" borderId="0" xfId="0" applyFont="true" applyFill="true" applyAlignment="true">
      <alignment horizontal="center" vertical="center" wrapText="true"/>
    </xf>
    <xf numFmtId="179" fontId="11" fillId="0" borderId="0" xfId="0" applyNumberFormat="true" applyFont="true" applyFill="true" applyAlignment="true">
      <alignment horizontal="center" vertical="center" wrapText="true"/>
    </xf>
    <xf numFmtId="179" fontId="12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179" fontId="8" fillId="0" borderId="5" xfId="0" applyNumberFormat="true" applyFont="true" applyFill="true" applyBorder="true" applyAlignment="true">
      <alignment horizontal="center" vertical="center" wrapText="true"/>
    </xf>
    <xf numFmtId="0" fontId="8" fillId="0" borderId="6" xfId="0" applyFont="true" applyFill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center" vertical="center" wrapText="true"/>
    </xf>
    <xf numFmtId="179" fontId="8" fillId="0" borderId="8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179" fontId="13" fillId="0" borderId="2" xfId="0" applyNumberFormat="true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14" fillId="2" borderId="2" xfId="0" applyFont="true" applyFill="true" applyBorder="true" applyAlignment="true">
      <alignment horizontal="center" vertical="center" wrapText="true"/>
    </xf>
    <xf numFmtId="0" fontId="9" fillId="2" borderId="2" xfId="0" applyFont="true" applyFill="true" applyBorder="true" applyAlignment="true">
      <alignment horizontal="center" vertical="center" wrapText="true"/>
    </xf>
    <xf numFmtId="179" fontId="9" fillId="2" borderId="2" xfId="0" applyNumberFormat="true" applyFont="true" applyFill="true" applyBorder="true" applyAlignment="true">
      <alignment horizontal="center" vertical="center" wrapText="true"/>
    </xf>
    <xf numFmtId="0" fontId="15" fillId="2" borderId="2" xfId="0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179" fontId="2" fillId="0" borderId="2" xfId="0" applyNumberFormat="true" applyFont="true" applyFill="true" applyBorder="true" applyAlignment="true">
      <alignment horizontal="center" vertical="center" wrapText="true"/>
    </xf>
    <xf numFmtId="179" fontId="2" fillId="2" borderId="2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10" fontId="4" fillId="0" borderId="0" xfId="0" applyNumberFormat="true" applyFont="true" applyFill="true" applyAlignment="true">
      <alignment horizontal="left" vertical="center" wrapText="true"/>
    </xf>
    <xf numFmtId="10" fontId="11" fillId="0" borderId="0" xfId="0" applyNumberFormat="true" applyFont="true" applyFill="true" applyAlignment="true">
      <alignment horizontal="center" vertical="center" wrapText="true"/>
    </xf>
    <xf numFmtId="10" fontId="7" fillId="0" borderId="9" xfId="0" applyNumberFormat="true" applyFont="true" applyFill="true" applyBorder="true" applyAlignment="true">
      <alignment horizontal="center" vertical="center" wrapText="true"/>
    </xf>
    <xf numFmtId="179" fontId="7" fillId="0" borderId="5" xfId="0" applyNumberFormat="true" applyFont="true" applyFill="true" applyBorder="true" applyAlignment="true">
      <alignment horizontal="center" vertical="center" wrapText="true"/>
    </xf>
    <xf numFmtId="179" fontId="7" fillId="0" borderId="9" xfId="0" applyNumberFormat="true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vertical="center" wrapText="true"/>
    </xf>
    <xf numFmtId="10" fontId="7" fillId="0" borderId="1" xfId="0" applyNumberFormat="true" applyFont="true" applyFill="true" applyBorder="true" applyAlignment="true">
      <alignment horizontal="center" vertical="center" wrapText="true"/>
    </xf>
    <xf numFmtId="179" fontId="7" fillId="0" borderId="8" xfId="0" applyNumberFormat="true" applyFont="true" applyFill="true" applyBorder="true" applyAlignment="true">
      <alignment horizontal="center" vertical="center" wrapText="true"/>
    </xf>
    <xf numFmtId="179" fontId="7" fillId="0" borderId="1" xfId="0" applyNumberFormat="true" applyFont="true" applyFill="true" applyBorder="true" applyAlignment="true">
      <alignment horizontal="center" vertical="center" wrapText="true"/>
    </xf>
    <xf numFmtId="10" fontId="13" fillId="0" borderId="2" xfId="0" applyNumberFormat="true" applyFont="true" applyFill="true" applyBorder="true" applyAlignment="true">
      <alignment horizontal="center" vertical="center" wrapText="true"/>
    </xf>
    <xf numFmtId="10" fontId="9" fillId="2" borderId="2" xfId="0" applyNumberFormat="true" applyFont="true" applyFill="true" applyBorder="true" applyAlignment="true">
      <alignment horizontal="center" vertical="center" wrapText="true"/>
    </xf>
    <xf numFmtId="10" fontId="2" fillId="0" borderId="2" xfId="0" applyNumberFormat="true" applyFont="true" applyFill="true" applyBorder="true" applyAlignment="true">
      <alignment horizontal="center" vertical="center" wrapText="true"/>
    </xf>
    <xf numFmtId="10" fontId="2" fillId="2" borderId="2" xfId="0" applyNumberFormat="true" applyFont="true" applyFill="true" applyBorder="true" applyAlignment="true">
      <alignment horizontal="center" vertical="center" wrapText="true"/>
    </xf>
    <xf numFmtId="181" fontId="2" fillId="0" borderId="2" xfId="0" applyNumberFormat="true" applyFont="true" applyFill="true" applyBorder="true" applyAlignment="true">
      <alignment horizontal="center" vertical="center"/>
    </xf>
    <xf numFmtId="181" fontId="4" fillId="0" borderId="0" xfId="0" applyNumberFormat="true" applyFont="true" applyFill="true" applyAlignment="true">
      <alignment horizontal="left" vertical="center" wrapText="true"/>
    </xf>
    <xf numFmtId="181" fontId="11" fillId="0" borderId="0" xfId="0" applyNumberFormat="true" applyFont="true" applyFill="true" applyAlignment="true">
      <alignment horizontal="center" vertical="center" wrapText="true"/>
    </xf>
    <xf numFmtId="179" fontId="7" fillId="0" borderId="10" xfId="0" applyNumberFormat="true" applyFont="true" applyFill="true" applyBorder="true" applyAlignment="true">
      <alignment horizontal="center" vertical="center" wrapText="true"/>
    </xf>
    <xf numFmtId="179" fontId="7" fillId="0" borderId="11" xfId="0" applyNumberFormat="true" applyFont="true" applyFill="true" applyBorder="true" applyAlignment="true">
      <alignment horizontal="center" vertical="center" wrapText="true"/>
    </xf>
    <xf numFmtId="179" fontId="7" fillId="0" borderId="12" xfId="0" applyNumberFormat="true" applyFont="true" applyFill="true" applyBorder="true" applyAlignment="true">
      <alignment horizontal="center" vertical="center" wrapText="true"/>
    </xf>
    <xf numFmtId="181" fontId="7" fillId="0" borderId="10" xfId="0" applyNumberFormat="true" applyFont="true" applyFill="true" applyBorder="true" applyAlignment="true">
      <alignment horizontal="center" vertical="center" wrapText="true"/>
    </xf>
    <xf numFmtId="179" fontId="8" fillId="0" borderId="12" xfId="0" applyNumberFormat="true" applyFont="true" applyFill="true" applyBorder="true" applyAlignment="true">
      <alignment horizontal="center" vertical="center" wrapText="true"/>
    </xf>
    <xf numFmtId="181" fontId="13" fillId="0" borderId="2" xfId="0" applyNumberFormat="true" applyFont="true" applyFill="true" applyBorder="true" applyAlignment="true">
      <alignment horizontal="center" vertical="center" wrapText="true"/>
    </xf>
    <xf numFmtId="181" fontId="9" fillId="2" borderId="2" xfId="0" applyNumberFormat="true" applyFont="true" applyFill="true" applyBorder="true" applyAlignment="true">
      <alignment horizontal="center" vertical="center" wrapText="true"/>
    </xf>
    <xf numFmtId="181" fontId="2" fillId="0" borderId="2" xfId="0" applyNumberFormat="true" applyFont="true" applyFill="true" applyBorder="true" applyAlignment="true">
      <alignment horizontal="center" vertical="center" wrapText="true"/>
    </xf>
    <xf numFmtId="181" fontId="2" fillId="2" borderId="2" xfId="0" applyNumberFormat="true" applyFont="true" applyFill="true" applyBorder="true" applyAlignment="true">
      <alignment horizontal="center" vertical="center" wrapText="true"/>
    </xf>
    <xf numFmtId="9" fontId="4" fillId="0" borderId="0" xfId="0" applyNumberFormat="true" applyFont="true" applyFill="true" applyAlignment="true">
      <alignment horizontal="left" vertical="center" wrapText="true"/>
    </xf>
    <xf numFmtId="9" fontId="11" fillId="0" borderId="0" xfId="0" applyNumberFormat="true" applyFont="true" applyFill="true" applyAlignment="true">
      <alignment horizontal="center" vertical="center" wrapText="true"/>
    </xf>
    <xf numFmtId="179" fontId="12" fillId="0" borderId="0" xfId="0" applyNumberFormat="true" applyFont="true" applyFill="true" applyAlignment="true">
      <alignment horizontal="center" vertical="center" wrapText="true"/>
    </xf>
    <xf numFmtId="9" fontId="7" fillId="0" borderId="10" xfId="0" applyNumberFormat="true" applyFont="true" applyFill="true" applyBorder="true" applyAlignment="true">
      <alignment horizontal="center" vertical="center" wrapText="true"/>
    </xf>
    <xf numFmtId="9" fontId="13" fillId="0" borderId="2" xfId="0" applyNumberFormat="true" applyFont="true" applyFill="true" applyBorder="true" applyAlignment="true">
      <alignment horizontal="center" vertical="center" wrapText="true"/>
    </xf>
    <xf numFmtId="9" fontId="9" fillId="2" borderId="2" xfId="0" applyNumberFormat="true" applyFont="true" applyFill="true" applyBorder="true" applyAlignment="true">
      <alignment horizontal="center" vertical="center" wrapText="true"/>
    </xf>
    <xf numFmtId="9" fontId="2" fillId="0" borderId="2" xfId="0" applyNumberFormat="true" applyFont="true" applyFill="true" applyBorder="true" applyAlignment="true">
      <alignment horizontal="center" vertical="center" wrapText="true"/>
    </xf>
    <xf numFmtId="9" fontId="2" fillId="2" borderId="2" xfId="0" applyNumberFormat="true" applyFont="true" applyFill="true" applyBorder="true" applyAlignment="true">
      <alignment horizontal="center" vertical="center" wrapText="true"/>
    </xf>
    <xf numFmtId="9" fontId="7" fillId="0" borderId="11" xfId="0" applyNumberFormat="true" applyFont="true" applyFill="true" applyBorder="true" applyAlignment="true">
      <alignment horizontal="center" vertical="center" wrapText="true"/>
    </xf>
    <xf numFmtId="179" fontId="16" fillId="0" borderId="2" xfId="0" applyNumberFormat="true" applyFont="true" applyFill="true" applyBorder="true" applyAlignment="true">
      <alignment horizontal="center" vertical="center" wrapText="true"/>
    </xf>
    <xf numFmtId="179" fontId="8" fillId="0" borderId="2" xfId="0" applyNumberFormat="true" applyFont="true" applyFill="true" applyBorder="true" applyAlignment="true">
      <alignment horizontal="center" vertical="center" wrapText="true"/>
    </xf>
    <xf numFmtId="179" fontId="6" fillId="0" borderId="0" xfId="0" applyNumberFormat="true" applyFont="true" applyFill="true" applyAlignment="true">
      <alignment horizontal="right" vertical="center" wrapText="true"/>
    </xf>
    <xf numFmtId="179" fontId="17" fillId="0" borderId="0" xfId="0" applyNumberFormat="true" applyFont="true" applyFill="true" applyAlignment="true">
      <alignment horizontal="right" vertical="center" wrapText="true"/>
    </xf>
    <xf numFmtId="179" fontId="6" fillId="0" borderId="1" xfId="0" applyNumberFormat="true" applyFont="true" applyFill="true" applyBorder="true" applyAlignment="true">
      <alignment horizontal="left" vertical="center" wrapText="true"/>
    </xf>
    <xf numFmtId="181" fontId="18" fillId="0" borderId="2" xfId="0" applyNumberFormat="true" applyFont="true" applyFill="true" applyBorder="true" applyAlignment="true">
      <alignment horizontal="center" vertical="center" wrapText="true"/>
    </xf>
    <xf numFmtId="178" fontId="7" fillId="0" borderId="2" xfId="0" applyNumberFormat="true" applyFont="true" applyFill="true" applyBorder="true" applyAlignment="true">
      <alignment horizontal="center" vertical="center" wrapText="true"/>
    </xf>
    <xf numFmtId="181" fontId="16" fillId="0" borderId="2" xfId="0" applyNumberFormat="true" applyFont="true" applyFill="true" applyBorder="true" applyAlignment="true">
      <alignment horizontal="center" vertical="center" wrapText="true"/>
    </xf>
    <xf numFmtId="181" fontId="8" fillId="0" borderId="2" xfId="0" applyNumberFormat="true" applyFont="true" applyFill="true" applyBorder="true" applyAlignment="true">
      <alignment horizontal="center" vertical="center" wrapText="true"/>
    </xf>
    <xf numFmtId="178" fontId="8" fillId="0" borderId="2" xfId="0" applyNumberFormat="true" applyFont="true" applyFill="true" applyBorder="true" applyAlignment="true">
      <alignment horizontal="center" vertical="center" wrapText="true"/>
    </xf>
    <xf numFmtId="178" fontId="2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/>
    </xf>
    <xf numFmtId="181" fontId="9" fillId="0" borderId="2" xfId="0" applyNumberFormat="true" applyFont="true" applyFill="true" applyBorder="true" applyAlignment="true">
      <alignment horizontal="center" vertical="center" wrapText="true"/>
    </xf>
    <xf numFmtId="0" fontId="19" fillId="0" borderId="0" xfId="0" applyFont="true" applyFill="true" applyAlignment="true">
      <alignment horizontal="center" vertical="center"/>
    </xf>
    <xf numFmtId="0" fontId="20" fillId="0" borderId="0" xfId="0" applyFont="true" applyFill="true" applyAlignment="true">
      <alignment horizontal="center" vertical="center"/>
    </xf>
    <xf numFmtId="0" fontId="20" fillId="0" borderId="0" xfId="0" applyFont="true" applyFill="true" applyAlignment="true">
      <alignment horizontal="center" vertical="center" wrapText="true"/>
    </xf>
    <xf numFmtId="0" fontId="20" fillId="0" borderId="0" xfId="0" applyNumberFormat="true" applyFont="true" applyFill="true" applyAlignment="true">
      <alignment horizontal="center" vertical="center" wrapText="true"/>
    </xf>
    <xf numFmtId="180" fontId="20" fillId="0" borderId="0" xfId="0" applyNumberFormat="true" applyFont="true" applyFill="true" applyAlignment="true">
      <alignment horizontal="center" vertical="center" wrapText="true"/>
    </xf>
    <xf numFmtId="177" fontId="20" fillId="0" borderId="0" xfId="0" applyNumberFormat="true" applyFont="true" applyFill="true" applyAlignment="true">
      <alignment horizontal="center" vertical="center" wrapText="true"/>
    </xf>
    <xf numFmtId="0" fontId="21" fillId="0" borderId="0" xfId="22" applyFont="true" applyFill="true" applyBorder="true" applyAlignment="true">
      <alignment horizontal="center" vertical="center" shrinkToFit="true"/>
    </xf>
    <xf numFmtId="182" fontId="20" fillId="0" borderId="0" xfId="0" applyNumberFormat="true" applyFont="true" applyFill="true" applyAlignment="true">
      <alignment horizontal="center" vertical="center" wrapText="true"/>
    </xf>
    <xf numFmtId="0" fontId="22" fillId="0" borderId="0" xfId="0" applyFont="true" applyFill="true" applyAlignment="true">
      <alignment horizontal="left" vertical="center"/>
    </xf>
    <xf numFmtId="0" fontId="10" fillId="0" borderId="0" xfId="0" applyNumberFormat="true" applyFont="true" applyFill="true" applyAlignment="true">
      <alignment horizontal="center" vertical="center" wrapText="true"/>
    </xf>
    <xf numFmtId="0" fontId="12" fillId="0" borderId="0" xfId="0" applyFont="true" applyFill="true" applyAlignment="true">
      <alignment horizontal="center" vertical="center"/>
    </xf>
    <xf numFmtId="0" fontId="12" fillId="0" borderId="0" xfId="0" applyFont="true" applyFill="true" applyBorder="true" applyAlignment="true">
      <alignment horizontal="center" vertical="center"/>
    </xf>
    <xf numFmtId="0" fontId="20" fillId="0" borderId="2" xfId="0" applyFont="true" applyFill="true" applyBorder="true" applyAlignment="true">
      <alignment horizontal="center" vertical="center"/>
    </xf>
    <xf numFmtId="0" fontId="20" fillId="0" borderId="2" xfId="0" applyFont="true" applyFill="true" applyBorder="true" applyAlignment="true">
      <alignment horizontal="center" vertical="center" wrapText="true"/>
    </xf>
    <xf numFmtId="0" fontId="19" fillId="0" borderId="2" xfId="0" applyFont="true" applyFill="true" applyBorder="true" applyAlignment="true">
      <alignment horizontal="center" vertical="center"/>
    </xf>
    <xf numFmtId="0" fontId="23" fillId="0" borderId="2" xfId="76" applyNumberFormat="true" applyFont="true" applyFill="true" applyBorder="true" applyAlignment="true">
      <alignment horizontal="center" vertical="center" wrapText="true"/>
    </xf>
    <xf numFmtId="181" fontId="23" fillId="0" borderId="2" xfId="22" applyNumberFormat="true" applyFont="true" applyFill="true" applyBorder="true" applyAlignment="true">
      <alignment horizontal="center" vertical="center" shrinkToFit="true"/>
    </xf>
    <xf numFmtId="0" fontId="24" fillId="0" borderId="2" xfId="0" applyFont="true" applyFill="true" applyBorder="true" applyAlignment="true">
      <alignment horizontal="center" vertical="center"/>
    </xf>
    <xf numFmtId="0" fontId="23" fillId="0" borderId="2" xfId="22" applyFont="true" applyFill="true" applyBorder="true" applyAlignment="true">
      <alignment horizontal="center" vertical="center" shrinkToFit="true"/>
    </xf>
    <xf numFmtId="181" fontId="23" fillId="0" borderId="2" xfId="0" applyNumberFormat="true" applyFont="true" applyFill="true" applyBorder="true" applyAlignment="true">
      <alignment horizontal="center" vertical="center"/>
    </xf>
    <xf numFmtId="9" fontId="23" fillId="0" borderId="2" xfId="82" applyFont="true" applyFill="true" applyBorder="true" applyAlignment="true">
      <alignment horizontal="center" vertical="center" shrinkToFit="true"/>
    </xf>
    <xf numFmtId="0" fontId="20" fillId="0" borderId="2" xfId="22" applyFont="true" applyFill="true" applyBorder="true" applyAlignment="true">
      <alignment horizontal="center" vertical="center" shrinkToFit="true"/>
    </xf>
    <xf numFmtId="181" fontId="20" fillId="0" borderId="2" xfId="0" applyNumberFormat="true" applyFont="true" applyFill="true" applyBorder="true" applyAlignment="true">
      <alignment horizontal="center" vertical="center"/>
    </xf>
    <xf numFmtId="9" fontId="20" fillId="0" borderId="2" xfId="82" applyFont="true" applyFill="true" applyBorder="true" applyAlignment="true">
      <alignment horizontal="center" vertical="center" shrinkToFit="true"/>
    </xf>
    <xf numFmtId="0" fontId="20" fillId="0" borderId="2" xfId="22" applyFont="true" applyFill="true" applyBorder="true" applyAlignment="true">
      <alignment horizontal="center" vertical="center"/>
    </xf>
    <xf numFmtId="180" fontId="12" fillId="0" borderId="0" xfId="0" applyNumberFormat="true" applyFont="true" applyFill="true" applyBorder="true" applyAlignment="true">
      <alignment horizontal="center" vertical="center"/>
    </xf>
    <xf numFmtId="0" fontId="20" fillId="0" borderId="2" xfId="71" applyNumberFormat="true" applyFont="true" applyFill="true" applyBorder="true" applyAlignment="true">
      <alignment horizontal="center" vertical="center" wrapText="true"/>
    </xf>
    <xf numFmtId="180" fontId="20" fillId="0" borderId="2" xfId="71" applyNumberFormat="true" applyFont="true" applyFill="true" applyBorder="true" applyAlignment="true">
      <alignment horizontal="center" vertical="center" wrapText="true"/>
    </xf>
    <xf numFmtId="0" fontId="23" fillId="0" borderId="2" xfId="22" applyFont="true" applyFill="true" applyBorder="true" applyAlignment="true">
      <alignment horizontal="center" vertical="center"/>
    </xf>
    <xf numFmtId="180" fontId="23" fillId="0" borderId="2" xfId="0" applyNumberFormat="true" applyFont="true" applyFill="true" applyBorder="true" applyAlignment="true">
      <alignment horizontal="center" vertical="center" wrapText="true"/>
    </xf>
    <xf numFmtId="0" fontId="23" fillId="0" borderId="2" xfId="0" applyFont="true" applyFill="true" applyBorder="true" applyAlignment="true">
      <alignment horizontal="center" vertical="center" wrapText="true"/>
    </xf>
    <xf numFmtId="180" fontId="23" fillId="0" borderId="2" xfId="0" applyNumberFormat="true" applyFont="true" applyFill="true" applyBorder="true" applyAlignment="true">
      <alignment horizontal="center" vertical="center"/>
    </xf>
    <xf numFmtId="1" fontId="20" fillId="0" borderId="2" xfId="82" applyNumberFormat="true" applyFont="true" applyFill="true" applyBorder="true" applyAlignment="true">
      <alignment horizontal="center" vertical="center"/>
    </xf>
    <xf numFmtId="0" fontId="25" fillId="0" borderId="2" xfId="0" applyFont="true" applyFill="true" applyBorder="true" applyAlignment="true" applyProtection="true">
      <alignment horizontal="center" vertical="center"/>
      <protection locked="false"/>
    </xf>
    <xf numFmtId="180" fontId="20" fillId="0" borderId="2" xfId="22" applyNumberFormat="true" applyFont="true" applyFill="true" applyBorder="true" applyAlignment="true">
      <alignment horizontal="center" vertical="center" shrinkToFit="true"/>
    </xf>
    <xf numFmtId="181" fontId="25" fillId="0" borderId="2" xfId="0" applyNumberFormat="true" applyFont="true" applyFill="true" applyBorder="true" applyAlignment="true">
      <alignment horizontal="center" vertical="center"/>
    </xf>
    <xf numFmtId="0" fontId="26" fillId="0" borderId="0" xfId="0" applyFont="true" applyFill="true" applyAlignment="true">
      <alignment horizontal="center" vertical="center"/>
    </xf>
    <xf numFmtId="0" fontId="20" fillId="0" borderId="10" xfId="22" applyFont="true" applyFill="true" applyBorder="true" applyAlignment="true">
      <alignment horizontal="center" vertical="center" wrapText="true"/>
    </xf>
    <xf numFmtId="0" fontId="20" fillId="0" borderId="12" xfId="22" applyFont="true" applyFill="true" applyBorder="true" applyAlignment="true">
      <alignment horizontal="center" vertical="center" wrapText="true"/>
    </xf>
    <xf numFmtId="182" fontId="20" fillId="0" borderId="2" xfId="0" applyNumberFormat="true" applyFont="true" applyFill="true" applyBorder="true" applyAlignment="true">
      <alignment horizontal="center" vertical="center" wrapText="true"/>
    </xf>
    <xf numFmtId="177" fontId="20" fillId="0" borderId="2" xfId="71" applyNumberFormat="true" applyFont="true" applyFill="true" applyBorder="true" applyAlignment="true">
      <alignment horizontal="center" vertical="center" wrapText="true"/>
    </xf>
    <xf numFmtId="9" fontId="20" fillId="0" borderId="2" xfId="22" applyNumberFormat="true" applyFont="true" applyFill="true" applyBorder="true" applyAlignment="true">
      <alignment horizontal="center" vertical="center" shrinkToFit="true"/>
    </xf>
    <xf numFmtId="182" fontId="23" fillId="0" borderId="2" xfId="22" applyNumberFormat="true" applyFont="true" applyFill="true" applyBorder="true" applyAlignment="true">
      <alignment horizontal="center" vertical="center" shrinkToFit="true"/>
    </xf>
    <xf numFmtId="182" fontId="23" fillId="0" borderId="2" xfId="0" applyNumberFormat="true" applyFont="true" applyFill="true" applyBorder="true" applyAlignment="true">
      <alignment horizontal="center" vertical="center"/>
    </xf>
    <xf numFmtId="1" fontId="20" fillId="0" borderId="2" xfId="22" applyNumberFormat="true" applyFont="true" applyFill="true" applyBorder="true" applyAlignment="true">
      <alignment horizontal="center" vertical="center" shrinkToFit="true"/>
    </xf>
    <xf numFmtId="1" fontId="21" fillId="0" borderId="0" xfId="22" applyNumberFormat="true" applyFont="true" applyFill="true" applyBorder="true" applyAlignment="true">
      <alignment horizontal="center" vertical="center" shrinkToFit="true"/>
    </xf>
    <xf numFmtId="0" fontId="19" fillId="0" borderId="0" xfId="0" applyNumberFormat="true" applyFont="true" applyFill="true" applyAlignment="true">
      <alignment horizontal="center" vertical="center"/>
    </xf>
    <xf numFmtId="0" fontId="20" fillId="0" borderId="2" xfId="0" applyNumberFormat="true" applyFont="true" applyFill="true" applyBorder="true" applyAlignment="true">
      <alignment horizontal="center" vertical="center" wrapText="true"/>
    </xf>
    <xf numFmtId="180" fontId="23" fillId="0" borderId="2" xfId="22" applyNumberFormat="true" applyFont="true" applyFill="true" applyBorder="true" applyAlignment="true">
      <alignment horizontal="center" vertical="center" shrinkToFit="true"/>
    </xf>
    <xf numFmtId="176" fontId="19" fillId="0" borderId="0" xfId="82" applyNumberFormat="true" applyFont="true" applyFill="true" applyAlignment="true">
      <alignment horizontal="center" vertical="center"/>
    </xf>
    <xf numFmtId="180" fontId="20" fillId="0" borderId="2" xfId="0" applyNumberFormat="true" applyFont="true" applyFill="true" applyBorder="true" applyAlignment="true">
      <alignment horizontal="center" vertical="center" wrapText="true"/>
    </xf>
    <xf numFmtId="0" fontId="19" fillId="0" borderId="0" xfId="82" applyNumberFormat="true" applyFont="true" applyFill="true" applyAlignment="true">
      <alignment horizontal="center" vertical="center"/>
    </xf>
    <xf numFmtId="0" fontId="20" fillId="3" borderId="0" xfId="0" applyFont="true" applyFill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181" fontId="20" fillId="0" borderId="0" xfId="0" applyNumberFormat="true" applyFont="true" applyFill="true" applyAlignment="true">
      <alignment horizontal="center" vertical="center" wrapText="true"/>
    </xf>
    <xf numFmtId="0" fontId="20" fillId="0" borderId="0" xfId="22" applyFont="true" applyFill="true" applyBorder="true" applyAlignment="true">
      <alignment horizontal="center" vertical="center" shrinkToFit="true"/>
    </xf>
    <xf numFmtId="0" fontId="4" fillId="0" borderId="0" xfId="0" applyFont="true" applyAlignment="true">
      <alignment horizontal="left" vertical="center"/>
    </xf>
    <xf numFmtId="0" fontId="4" fillId="0" borderId="0" xfId="0" applyFont="true" applyFill="true" applyAlignment="true">
      <alignment horizontal="left" vertical="center"/>
    </xf>
    <xf numFmtId="0" fontId="27" fillId="0" borderId="0" xfId="0" applyNumberFormat="true" applyFont="true" applyFill="true" applyAlignment="true">
      <alignment horizontal="center" vertical="center" wrapText="true"/>
    </xf>
    <xf numFmtId="0" fontId="28" fillId="0" borderId="0" xfId="0" applyFont="true" applyFill="true" applyAlignment="true">
      <alignment horizontal="center" vertical="center"/>
    </xf>
    <xf numFmtId="0" fontId="29" fillId="0" borderId="0" xfId="0" applyFont="true" applyFill="true" applyAlignment="true">
      <alignment horizontal="center" vertical="center" wrapText="true"/>
    </xf>
    <xf numFmtId="0" fontId="28" fillId="0" borderId="0" xfId="0" applyFont="true" applyFill="true" applyBorder="true" applyAlignment="true">
      <alignment horizontal="center" vertical="center"/>
    </xf>
    <xf numFmtId="0" fontId="28" fillId="0" borderId="0" xfId="0" applyFont="true" applyFill="true" applyAlignment="true">
      <alignment horizontal="center" vertical="center" wrapText="true"/>
    </xf>
    <xf numFmtId="0" fontId="30" fillId="3" borderId="2" xfId="0" applyFont="true" applyFill="true" applyBorder="true" applyAlignment="true">
      <alignment horizontal="center" vertical="center"/>
    </xf>
    <xf numFmtId="0" fontId="30" fillId="3" borderId="3" xfId="0" applyFont="true" applyFill="true" applyBorder="true" applyAlignment="true">
      <alignment horizontal="center" vertical="center" wrapText="true"/>
    </xf>
    <xf numFmtId="0" fontId="20" fillId="3" borderId="10" xfId="0" applyFont="true" applyFill="true" applyBorder="true" applyAlignment="true">
      <alignment horizontal="center" vertical="center" wrapText="true"/>
    </xf>
    <xf numFmtId="0" fontId="20" fillId="3" borderId="11" xfId="0" applyFont="true" applyFill="true" applyBorder="true" applyAlignment="true">
      <alignment horizontal="center" vertical="center" wrapText="true"/>
    </xf>
    <xf numFmtId="0" fontId="20" fillId="3" borderId="2" xfId="0" applyFont="true" applyFill="true" applyBorder="true" applyAlignment="true">
      <alignment horizontal="center" vertical="center"/>
    </xf>
    <xf numFmtId="0" fontId="20" fillId="3" borderId="6" xfId="0" applyFont="true" applyFill="true" applyBorder="true" applyAlignment="true">
      <alignment horizontal="center" vertical="center" wrapText="true"/>
    </xf>
    <xf numFmtId="181" fontId="30" fillId="3" borderId="2" xfId="0" applyNumberFormat="true" applyFont="true" applyFill="true" applyBorder="true" applyAlignment="true">
      <alignment horizontal="center" vertical="center" wrapText="true"/>
    </xf>
    <xf numFmtId="0" fontId="30" fillId="3" borderId="2" xfId="0" applyFont="true" applyFill="true" applyBorder="true" applyAlignment="true">
      <alignment horizontal="center" vertical="center" wrapText="true"/>
    </xf>
    <xf numFmtId="0" fontId="31" fillId="0" borderId="2" xfId="76" applyNumberFormat="true" applyFont="true" applyFill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center" vertical="center"/>
    </xf>
    <xf numFmtId="0" fontId="14" fillId="0" borderId="2" xfId="76" applyNumberFormat="true" applyFont="true" applyFill="true" applyBorder="true" applyAlignment="true">
      <alignment horizontal="center" vertical="center" wrapText="true"/>
    </xf>
    <xf numFmtId="0" fontId="32" fillId="0" borderId="2" xfId="35" applyNumberFormat="true" applyFont="true" applyFill="true" applyBorder="true" applyAlignment="true">
      <alignment horizontal="center" vertical="center" wrapText="true"/>
    </xf>
    <xf numFmtId="182" fontId="20" fillId="0" borderId="2" xfId="0" applyNumberFormat="true" applyFont="true" applyFill="true" applyBorder="true" applyAlignment="true" applyProtection="true">
      <alignment horizontal="center" vertical="center"/>
    </xf>
    <xf numFmtId="0" fontId="32" fillId="0" borderId="2" xfId="76" applyNumberFormat="true" applyFont="true" applyFill="true" applyBorder="true" applyAlignment="true">
      <alignment horizontal="center" vertical="center" wrapText="true"/>
    </xf>
    <xf numFmtId="0" fontId="14" fillId="0" borderId="2" xfId="76" applyFont="true" applyFill="true" applyBorder="true" applyAlignment="true">
      <alignment horizontal="center" vertical="center" wrapText="true"/>
    </xf>
    <xf numFmtId="181" fontId="23" fillId="0" borderId="0" xfId="0" applyNumberFormat="true" applyFont="true" applyFill="true" applyAlignment="true">
      <alignment horizontal="center" vertical="center" wrapText="true"/>
    </xf>
    <xf numFmtId="0" fontId="32" fillId="0" borderId="2" xfId="76" applyFont="true" applyFill="true" applyBorder="true" applyAlignment="true">
      <alignment horizontal="center" vertical="center" wrapText="true"/>
    </xf>
    <xf numFmtId="0" fontId="20" fillId="3" borderId="12" xfId="0" applyFont="true" applyFill="true" applyBorder="true" applyAlignment="true">
      <alignment horizontal="center" vertical="center" wrapText="true"/>
    </xf>
    <xf numFmtId="0" fontId="30" fillId="3" borderId="2" xfId="71" applyNumberFormat="true" applyFont="true" applyFill="true" applyBorder="true" applyAlignment="true">
      <alignment horizontal="center" vertical="center" wrapText="true"/>
    </xf>
    <xf numFmtId="180" fontId="30" fillId="3" borderId="2" xfId="71" applyNumberFormat="true" applyFont="true" applyFill="true" applyBorder="true" applyAlignment="true">
      <alignment horizontal="center" vertical="center" wrapText="true"/>
    </xf>
    <xf numFmtId="1" fontId="23" fillId="0" borderId="2" xfId="82" applyNumberFormat="true" applyFont="true" applyFill="true" applyBorder="true" applyAlignment="true">
      <alignment horizontal="center" vertical="center"/>
    </xf>
    <xf numFmtId="0" fontId="30" fillId="0" borderId="0" xfId="0" applyFont="true" applyFill="true" applyAlignment="true">
      <alignment horizontal="center" vertical="center" wrapText="true"/>
    </xf>
    <xf numFmtId="0" fontId="30" fillId="3" borderId="10" xfId="22" applyFont="true" applyFill="true" applyBorder="true" applyAlignment="true">
      <alignment horizontal="center" vertical="center" wrapText="true"/>
    </xf>
    <xf numFmtId="0" fontId="20" fillId="3" borderId="12" xfId="22" applyFont="true" applyFill="true" applyBorder="true" applyAlignment="true">
      <alignment horizontal="center" vertical="center" wrapText="true"/>
    </xf>
    <xf numFmtId="180" fontId="30" fillId="3" borderId="3" xfId="0" applyNumberFormat="true" applyFont="true" applyFill="true" applyBorder="true" applyAlignment="true">
      <alignment horizontal="center" vertical="center" wrapText="true"/>
    </xf>
    <xf numFmtId="177" fontId="30" fillId="3" borderId="2" xfId="71" applyNumberFormat="true" applyFont="true" applyFill="true" applyBorder="true" applyAlignment="true">
      <alignment horizontal="center" vertical="center" wrapText="true"/>
    </xf>
    <xf numFmtId="9" fontId="30" fillId="3" borderId="2" xfId="22" applyNumberFormat="true" applyFont="true" applyFill="true" applyBorder="true" applyAlignment="true">
      <alignment horizontal="center" vertical="center" shrinkToFit="true"/>
    </xf>
    <xf numFmtId="0" fontId="30" fillId="3" borderId="2" xfId="22" applyFont="true" applyFill="true" applyBorder="true" applyAlignment="true">
      <alignment horizontal="center" vertical="center" shrinkToFit="true"/>
    </xf>
    <xf numFmtId="180" fontId="20" fillId="3" borderId="6" xfId="0" applyNumberFormat="true" applyFont="true" applyFill="true" applyBorder="true" applyAlignment="true">
      <alignment horizontal="center" vertical="center" wrapText="true"/>
    </xf>
    <xf numFmtId="1" fontId="23" fillId="0" borderId="2" xfId="82" applyNumberFormat="true" applyFont="true" applyBorder="true" applyAlignment="true">
      <alignment horizontal="center" vertical="center"/>
    </xf>
    <xf numFmtId="0" fontId="30" fillId="3" borderId="3" xfId="0" applyNumberFormat="true" applyFont="true" applyFill="true" applyBorder="true" applyAlignment="true">
      <alignment horizontal="center" vertical="center" wrapText="true"/>
    </xf>
    <xf numFmtId="0" fontId="20" fillId="3" borderId="6" xfId="0" applyNumberFormat="true" applyFont="true" applyFill="true" applyBorder="true" applyAlignment="true">
      <alignment horizontal="center" vertical="center" wrapText="true"/>
    </xf>
    <xf numFmtId="180" fontId="20" fillId="0" borderId="0" xfId="0" applyNumberFormat="true" applyFont="true" applyFill="true" applyAlignment="true">
      <alignment horizontal="center" vertical="center"/>
    </xf>
    <xf numFmtId="181" fontId="20" fillId="0" borderId="0" xfId="0" applyNumberFormat="true" applyFont="true" applyFill="true" applyAlignment="true">
      <alignment horizontal="center" vertical="center"/>
    </xf>
    <xf numFmtId="1" fontId="20" fillId="0" borderId="0" xfId="0" applyNumberFormat="true" applyFont="true" applyFill="true" applyAlignment="true">
      <alignment horizontal="center" vertical="center"/>
    </xf>
    <xf numFmtId="0" fontId="33" fillId="0" borderId="0" xfId="0" applyFont="true" applyFill="true" applyAlignment="true">
      <alignment vertical="center"/>
    </xf>
    <xf numFmtId="0" fontId="7" fillId="0" borderId="0" xfId="0" applyFont="true" applyFill="true" applyAlignment="true">
      <alignment vertical="center"/>
    </xf>
    <xf numFmtId="0" fontId="17" fillId="3" borderId="0" xfId="0" applyFont="true" applyFill="true" applyAlignment="true">
      <alignment vertical="center"/>
    </xf>
    <xf numFmtId="0" fontId="17" fillId="4" borderId="0" xfId="0" applyFont="true" applyFill="true" applyAlignment="true">
      <alignment vertical="center"/>
    </xf>
    <xf numFmtId="0" fontId="8" fillId="0" borderId="0" xfId="0" applyFont="true" applyFill="true" applyAlignment="true">
      <alignment vertical="center"/>
    </xf>
    <xf numFmtId="181" fontId="2" fillId="0" borderId="0" xfId="0" applyNumberFormat="true" applyFont="true" applyFill="true" applyAlignment="true">
      <alignment vertical="center"/>
    </xf>
    <xf numFmtId="181" fontId="3" fillId="0" borderId="0" xfId="0" applyNumberFormat="true" applyFont="true" applyFill="true" applyAlignment="true">
      <alignment horizontal="left" vertical="center" wrapText="true"/>
    </xf>
    <xf numFmtId="0" fontId="5" fillId="0" borderId="0" xfId="0" applyFont="true" applyFill="true" applyAlignment="true">
      <alignment horizontal="center" vertical="center" wrapText="true"/>
    </xf>
    <xf numFmtId="181" fontId="5" fillId="0" borderId="0" xfId="0" applyNumberFormat="true" applyFont="true" applyFill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34" fillId="0" borderId="2" xfId="0" applyFont="true" applyFill="true" applyBorder="true" applyAlignment="true">
      <alignment horizontal="center" vertical="center" wrapText="true"/>
    </xf>
    <xf numFmtId="181" fontId="34" fillId="0" borderId="11" xfId="0" applyNumberFormat="true" applyFont="true" applyFill="true" applyBorder="true" applyAlignment="true">
      <alignment horizontal="center" vertical="center" wrapText="true"/>
    </xf>
    <xf numFmtId="0" fontId="17" fillId="3" borderId="2" xfId="0" applyFont="true" applyFill="true" applyBorder="true" applyAlignment="true">
      <alignment vertical="center"/>
    </xf>
    <xf numFmtId="0" fontId="35" fillId="3" borderId="2" xfId="0" applyFont="true" applyFill="true" applyBorder="true" applyAlignment="true">
      <alignment horizontal="center" vertical="center" wrapText="true"/>
    </xf>
    <xf numFmtId="181" fontId="9" fillId="3" borderId="2" xfId="0" applyNumberFormat="true" applyFont="true" applyFill="true" applyBorder="true" applyAlignment="true">
      <alignment horizontal="center" vertical="center"/>
    </xf>
    <xf numFmtId="0" fontId="15" fillId="4" borderId="2" xfId="0" applyFont="true" applyFill="true" applyBorder="true" applyAlignment="true">
      <alignment horizontal="center" vertical="center" wrapText="true"/>
    </xf>
    <xf numFmtId="181" fontId="9" fillId="4" borderId="2" xfId="0" applyNumberFormat="true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181" fontId="2" fillId="0" borderId="2" xfId="0" applyNumberFormat="true" applyFont="true" applyBorder="true" applyAlignment="true">
      <alignment horizontal="center" vertical="center" wrapText="true"/>
    </xf>
    <xf numFmtId="0" fontId="14" fillId="4" borderId="2" xfId="0" applyFont="true" applyFill="true" applyBorder="true" applyAlignment="true">
      <alignment horizontal="center" vertical="center" wrapText="true"/>
    </xf>
    <xf numFmtId="179" fontId="2" fillId="0" borderId="0" xfId="0" applyNumberFormat="true" applyFont="true" applyAlignment="true">
      <alignment vertical="center" wrapText="true"/>
    </xf>
  </cellXfs>
  <cellStyles count="190">
    <cellStyle name="常规" xfId="0" builtinId="0"/>
    <cellStyle name="60% - 强调文字颜色 4 4" xfId="1"/>
    <cellStyle name="差 4" xfId="2"/>
    <cellStyle name="60% - 强调文字颜色 5 4" xfId="3"/>
    <cellStyle name="注释 3" xfId="4"/>
    <cellStyle name="注释 2" xfId="5"/>
    <cellStyle name="输入 4" xfId="6"/>
    <cellStyle name="输入 3" xfId="7"/>
    <cellStyle name="适中 4" xfId="8"/>
    <cellStyle name="强调文字颜色 4 2" xfId="9"/>
    <cellStyle name="强调文字颜色 2 4" xfId="10"/>
    <cellStyle name="60% - 强调文字颜色 5 3" xfId="11"/>
    <cellStyle name="差 3" xfId="12"/>
    <cellStyle name="强调文字颜色 1 2" xfId="13"/>
    <cellStyle name="常规 3 4" xfId="14"/>
    <cellStyle name="汇总 3" xfId="15"/>
    <cellStyle name="输入 2" xfId="16"/>
    <cellStyle name="好 4" xfId="17"/>
    <cellStyle name="好 3" xfId="18"/>
    <cellStyle name="好 2" xfId="19"/>
    <cellStyle name="60% - 强调文字颜色 6 4" xfId="20"/>
    <cellStyle name="60% - 强调文字颜色 6 3" xfId="21"/>
    <cellStyle name="常规 2" xfId="22"/>
    <cellStyle name="常规 15" xfId="23"/>
    <cellStyle name="标题 4 2" xfId="24"/>
    <cellStyle name="适中 3" xfId="25"/>
    <cellStyle name="强调文字颜色 4 3" xfId="26"/>
    <cellStyle name="标题 5" xfId="27"/>
    <cellStyle name="强调文字颜色 5 4" xfId="28"/>
    <cellStyle name="汇总 2" xfId="29"/>
    <cellStyle name="汇总 4" xfId="30"/>
    <cellStyle name="常规 10" xfId="31"/>
    <cellStyle name="40% - 强调文字颜色 1 4" xfId="32"/>
    <cellStyle name="注释 4" xfId="33"/>
    <cellStyle name="强调文字颜色 4 4" xfId="34"/>
    <cellStyle name="常规_Sheet1 2" xfId="35"/>
    <cellStyle name="强调文字颜色 6 4" xfId="36"/>
    <cellStyle name="强调文字颜色 1 3" xfId="37"/>
    <cellStyle name="20% - 强调文字颜色 2 2" xfId="38"/>
    <cellStyle name="40% - 强调文字颜色 2 4" xfId="39"/>
    <cellStyle name="强调文字颜色 6 2" xfId="40"/>
    <cellStyle name="40% - 强调文字颜色 1 3" xfId="41"/>
    <cellStyle name="强调文字颜色 1 4" xfId="42"/>
    <cellStyle name="40% - 强调文字颜色 6 2" xfId="43"/>
    <cellStyle name="强调文字颜色 6 3" xfId="44"/>
    <cellStyle name="强调文字颜色 5 2" xfId="45"/>
    <cellStyle name="40% - 强调文字颜色 5 2" xfId="46"/>
    <cellStyle name="强调文字颜色 5 3" xfId="47"/>
    <cellStyle name="40% - 强调文字颜色 6 4" xfId="48"/>
    <cellStyle name="40% - 强调文字颜色 6 3" xfId="49"/>
    <cellStyle name="40% - 强调文字颜色 4 3" xfId="50"/>
    <cellStyle name="常规 3" xfId="51"/>
    <cellStyle name="20% - 强调文字颜色 4 2" xfId="52"/>
    <cellStyle name="20% - 强调文字颜色 1 4" xfId="53"/>
    <cellStyle name="20% - 强调文字颜色 5 2" xfId="54"/>
    <cellStyle name="标题 1 2" xfId="55"/>
    <cellStyle name="常规 4" xfId="56"/>
    <cellStyle name="20% - 强调文字颜色 4 3" xfId="57"/>
    <cellStyle name="40% - 强调文字颜色 4 4" xfId="58"/>
    <cellStyle name="20% - 强调文字颜色 2 4" xfId="59"/>
    <cellStyle name="输出 3" xfId="60"/>
    <cellStyle name="解释性文本 4" xfId="61"/>
    <cellStyle name="常规 34" xfId="62"/>
    <cellStyle name="20% - 强调文字颜色 4" xfId="63" builtinId="42"/>
    <cellStyle name="标题 3 3" xfId="64"/>
    <cellStyle name="强调文字颜色 4" xfId="65" builtinId="41"/>
    <cellStyle name="40% - 强调文字颜色 3" xfId="66" builtinId="39"/>
    <cellStyle name="输入" xfId="67" builtinId="20"/>
    <cellStyle name="解释性文本 3" xfId="68"/>
    <cellStyle name="常规 33" xfId="69"/>
    <cellStyle name="20% - 强调文字颜色 3" xfId="70" builtinId="38"/>
    <cellStyle name="常规 2 2 2" xfId="71"/>
    <cellStyle name="标题 3 2" xfId="72"/>
    <cellStyle name="强调文字颜色 3" xfId="73" builtinId="37"/>
    <cellStyle name="货币" xfId="74" builtinId="4"/>
    <cellStyle name="60% - 强调文字颜色 2" xfId="75" builtinId="36"/>
    <cellStyle name="样式 1" xfId="76"/>
    <cellStyle name="常规 19 2" xfId="77"/>
    <cellStyle name="强调文字颜色 2" xfId="78" builtinId="33"/>
    <cellStyle name="60% - 强调文字颜色 1" xfId="79" builtinId="32"/>
    <cellStyle name="60% - 强调文字颜色 4" xfId="80" builtinId="44"/>
    <cellStyle name="强调文字颜色 1" xfId="81" builtinId="29"/>
    <cellStyle name="百分比" xfId="82" builtinId="5"/>
    <cellStyle name="计算" xfId="83" builtinId="22"/>
    <cellStyle name="适中" xfId="84" builtinId="28"/>
    <cellStyle name="好" xfId="85" builtinId="26"/>
    <cellStyle name="60% - 强调文字颜色 3" xfId="86" builtinId="40"/>
    <cellStyle name="注释" xfId="87" builtinId="10"/>
    <cellStyle name="计算 4" xfId="88"/>
    <cellStyle name="40% - 强调文字颜色 2" xfId="89" builtinId="35"/>
    <cellStyle name="标题 7" xfId="90"/>
    <cellStyle name="20% - 强调文字颜色 1 3" xfId="91"/>
    <cellStyle name="货币[0]" xfId="92" builtinId="7"/>
    <cellStyle name="解释性文本 2" xfId="93"/>
    <cellStyle name="20% - 强调文字颜色 2" xfId="94" builtinId="34"/>
    <cellStyle name="常规 2 3" xfId="95"/>
    <cellStyle name="标题 4" xfId="96" builtinId="19"/>
    <cellStyle name="20% - 强调文字颜色 2 3" xfId="97"/>
    <cellStyle name="链接单元格" xfId="98" builtinId="24"/>
    <cellStyle name="40% - 强调文字颜色 4" xfId="99" builtinId="43"/>
    <cellStyle name="标题 4 3" xfId="100"/>
    <cellStyle name="已访问的超链接" xfId="101" builtinId="9"/>
    <cellStyle name="标题" xfId="102" builtinId="15"/>
    <cellStyle name="千位分隔" xfId="103" builtinId="3"/>
    <cellStyle name="警告文本" xfId="104" builtinId="11"/>
    <cellStyle name="强调文字颜色 6" xfId="105" builtinId="49"/>
    <cellStyle name="链接单元格 3" xfId="106"/>
    <cellStyle name="40% - 强调文字颜色 5 4" xfId="107"/>
    <cellStyle name="计算 3" xfId="108"/>
    <cellStyle name="40% - 强调文字颜色 1" xfId="109" builtinId="31"/>
    <cellStyle name="常规 31" xfId="110"/>
    <cellStyle name="20% - 强调文字颜色 1" xfId="111" builtinId="30"/>
    <cellStyle name="检查单元格 2" xfId="112"/>
    <cellStyle name="汇总" xfId="113" builtinId="25"/>
    <cellStyle name="检查单元格 3" xfId="114"/>
    <cellStyle name="标题 2 2" xfId="115"/>
    <cellStyle name="20% - 强调文字颜色 6 2" xfId="116"/>
    <cellStyle name="适中 2" xfId="117"/>
    <cellStyle name="强调文字颜色 3 4" xfId="118"/>
    <cellStyle name="常规 2 2" xfId="119"/>
    <cellStyle name="标题 3" xfId="120" builtinId="18"/>
    <cellStyle name="标题 3 4" xfId="121"/>
    <cellStyle name="强调文字颜色 5" xfId="122" builtinId="45"/>
    <cellStyle name="差 2" xfId="123"/>
    <cellStyle name="60% - 强调文字颜色 5 2" xfId="124"/>
    <cellStyle name="超链接" xfId="125" builtinId="8"/>
    <cellStyle name="40% - 强调文字颜色 6" xfId="126" builtinId="51"/>
    <cellStyle name="60% - 强调文字颜色 3 3" xfId="127"/>
    <cellStyle name="千位分隔[0]" xfId="128" builtinId="6"/>
    <cellStyle name="40% - 强调文字颜色 5" xfId="129" builtinId="47"/>
    <cellStyle name="60% - 强调文字颜色 4 2" xfId="130"/>
    <cellStyle name="检查单元格 4" xfId="131"/>
    <cellStyle name="标题 2 3" xfId="132"/>
    <cellStyle name="20% - 强调文字颜色 6 3" xfId="133"/>
    <cellStyle name="解释性文本" xfId="134" builtinId="53"/>
    <cellStyle name="40% - 强调文字颜色 4 2" xfId="135"/>
    <cellStyle name="强调文字颜色 3 2" xfId="136"/>
    <cellStyle name="常规 8 5 2" xfId="137"/>
    <cellStyle name="20% - 强调文字颜色 5" xfId="138" builtinId="46"/>
    <cellStyle name="标题 1" xfId="139" builtinId="16"/>
    <cellStyle name="60% - 强调文字颜色 5" xfId="140" builtinId="48"/>
    <cellStyle name="差" xfId="141" builtinId="27"/>
    <cellStyle name="检查单元格" xfId="142" builtinId="23"/>
    <cellStyle name="输出" xfId="143" builtinId="21"/>
    <cellStyle name="强调文字颜色 3 3" xfId="144"/>
    <cellStyle name="标题 2" xfId="145" builtinId="17"/>
    <cellStyle name="20% - 强调文字颜色 6" xfId="146" builtinId="50"/>
    <cellStyle name="60% - 强调文字颜色 6" xfId="147" builtinId="52"/>
    <cellStyle name="20% - 强调文字颜色 1 2" xfId="148"/>
    <cellStyle name="常规 50" xfId="149"/>
    <cellStyle name="标题 6" xfId="150"/>
    <cellStyle name="20% - 强调文字颜色 5 3" xfId="151"/>
    <cellStyle name="标题 1 3" xfId="152"/>
    <cellStyle name="20% - 强调文字颜色 4 4" xfId="153"/>
    <cellStyle name="20% - 强调文字颜色 3 2" xfId="154"/>
    <cellStyle name="标题 2 4" xfId="155"/>
    <cellStyle name="20% - 强调文字颜色 6 4" xfId="156"/>
    <cellStyle name="40% - 强调文字颜色 3 2" xfId="157"/>
    <cellStyle name="20% - 强调文字颜色 3 4" xfId="158"/>
    <cellStyle name="60% - 强调文字颜色 1 2" xfId="159"/>
    <cellStyle name="40% - 强调文字颜色 2 3" xfId="160"/>
    <cellStyle name="60% - 强调文字颜色 1 3" xfId="161"/>
    <cellStyle name="40% - 强调文字颜色 5 3" xfId="162"/>
    <cellStyle name="链接单元格 2" xfId="163"/>
    <cellStyle name="60% - 强调文字颜色 1 4" xfId="164"/>
    <cellStyle name="常规 5" xfId="165"/>
    <cellStyle name="强调文字颜色 2 2" xfId="166"/>
    <cellStyle name="60% - 强调文字颜色 2 2" xfId="167"/>
    <cellStyle name="40% - 强调文字颜色 3 3" xfId="168"/>
    <cellStyle name="60% - 强调文字颜色 2 4" xfId="169"/>
    <cellStyle name="60% - 强调文字颜色 3 2" xfId="170"/>
    <cellStyle name="输出 4" xfId="171"/>
    <cellStyle name="40% - 强调文字颜色 1 2" xfId="172"/>
    <cellStyle name="标题 4 4" xfId="173"/>
    <cellStyle name="常规 48" xfId="174"/>
    <cellStyle name="40% - 强调文字颜色 2 2" xfId="175"/>
    <cellStyle name="20% - 强调文字颜色 5 4" xfId="176"/>
    <cellStyle name="标题 1 4" xfId="177"/>
    <cellStyle name="60% - 强调文字颜色 4 3" xfId="178"/>
    <cellStyle name="常规 4 3 2" xfId="179"/>
    <cellStyle name="输出 2" xfId="180"/>
    <cellStyle name="60% - 强调文字颜色 3 4" xfId="181"/>
    <cellStyle name="20% - 强调文字颜色 3 3" xfId="182"/>
    <cellStyle name="40% - 强调文字颜色 3 4" xfId="183"/>
    <cellStyle name="60% - 强调文字颜色 2 3" xfId="184"/>
    <cellStyle name="强调文字颜色 2 3" xfId="185"/>
    <cellStyle name="常规 6" xfId="186"/>
    <cellStyle name="60% - 强调文字颜色 6 2" xfId="187"/>
    <cellStyle name="链接单元格 4" xfId="188"/>
    <cellStyle name="计算 2" xfId="18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106"/>
  <sheetViews>
    <sheetView tabSelected="1" view="pageBreakPreview" zoomScale="85" zoomScaleNormal="100" zoomScaleSheetLayoutView="85" workbookViewId="0">
      <selection activeCell="A3" sqref="A$1:A$1048576"/>
    </sheetView>
  </sheetViews>
  <sheetFormatPr defaultColWidth="9" defaultRowHeight="15" outlineLevelCol="2"/>
  <cols>
    <col min="1" max="1" width="20.625" style="203" customWidth="true"/>
    <col min="2" max="2" width="30.625" style="203" customWidth="true"/>
    <col min="3" max="3" width="30.625" style="204" customWidth="true"/>
    <col min="4" max="16384" width="9" style="203"/>
  </cols>
  <sheetData>
    <row r="1" s="18" customFormat="true" ht="21.75" customHeight="true" spans="1:3">
      <c r="A1" s="26" t="s">
        <v>0</v>
      </c>
      <c r="B1" s="26"/>
      <c r="C1" s="205"/>
    </row>
    <row r="2" s="199" customFormat="true" ht="36" customHeight="true" spans="1:3">
      <c r="A2" s="206" t="s">
        <v>1</v>
      </c>
      <c r="B2" s="206"/>
      <c r="C2" s="207"/>
    </row>
    <row r="3" s="200" customFormat="true" ht="21" customHeight="true" spans="1:3">
      <c r="A3" s="208" t="s">
        <v>2</v>
      </c>
      <c r="B3" s="209" t="s">
        <v>3</v>
      </c>
      <c r="C3" s="210" t="s">
        <v>4</v>
      </c>
    </row>
    <row r="4" s="201" customFormat="true" ht="24.95" customHeight="true" spans="1:3">
      <c r="A4" s="211"/>
      <c r="B4" s="212" t="s">
        <v>5</v>
      </c>
      <c r="C4" s="213">
        <v>55556</v>
      </c>
    </row>
    <row r="5" s="202" customFormat="true" ht="19.5" customHeight="true" spans="1:3">
      <c r="A5" s="214" t="s">
        <v>6</v>
      </c>
      <c r="B5" s="214" t="s">
        <v>7</v>
      </c>
      <c r="C5" s="215">
        <v>2029</v>
      </c>
    </row>
    <row r="6" s="203" customFormat="true" ht="19.5" customHeight="true" spans="1:3">
      <c r="A6" s="40">
        <v>1</v>
      </c>
      <c r="B6" s="216" t="s">
        <v>8</v>
      </c>
      <c r="C6" s="217"/>
    </row>
    <row r="7" s="203" customFormat="true" ht="19.5" customHeight="true" spans="1:3">
      <c r="A7" s="40">
        <v>2</v>
      </c>
      <c r="B7" s="216" t="s">
        <v>9</v>
      </c>
      <c r="C7" s="217"/>
    </row>
    <row r="8" s="203" customFormat="true" ht="19.5" customHeight="true" spans="1:3">
      <c r="A8" s="40">
        <v>3</v>
      </c>
      <c r="B8" s="216" t="s">
        <v>10</v>
      </c>
      <c r="C8" s="217"/>
    </row>
    <row r="9" s="203" customFormat="true" ht="19.5" customHeight="true" spans="1:3">
      <c r="A9" s="40">
        <v>4</v>
      </c>
      <c r="B9" s="216" t="s">
        <v>11</v>
      </c>
      <c r="C9" s="217"/>
    </row>
    <row r="10" s="203" customFormat="true" ht="19.5" customHeight="true" spans="1:3">
      <c r="A10" s="40">
        <v>5</v>
      </c>
      <c r="B10" s="216" t="s">
        <v>12</v>
      </c>
      <c r="C10" s="217"/>
    </row>
    <row r="11" s="203" customFormat="true" ht="19.5" customHeight="true" spans="1:3">
      <c r="A11" s="40">
        <v>6</v>
      </c>
      <c r="B11" s="216" t="s">
        <v>13</v>
      </c>
      <c r="C11" s="217"/>
    </row>
    <row r="12" s="203" customFormat="true" ht="19.5" customHeight="true" spans="1:3">
      <c r="A12" s="40">
        <v>7</v>
      </c>
      <c r="B12" s="216" t="s">
        <v>14</v>
      </c>
      <c r="C12" s="217"/>
    </row>
    <row r="13" s="203" customFormat="true" ht="19.5" customHeight="true" spans="1:3">
      <c r="A13" s="40">
        <v>8</v>
      </c>
      <c r="B13" s="216" t="s">
        <v>15</v>
      </c>
      <c r="C13" s="217">
        <v>1119</v>
      </c>
    </row>
    <row r="14" s="203" customFormat="true" ht="19.5" customHeight="true" spans="1:3">
      <c r="A14" s="40">
        <v>9</v>
      </c>
      <c r="B14" s="216" t="s">
        <v>16</v>
      </c>
      <c r="C14" s="217"/>
    </row>
    <row r="15" s="203" customFormat="true" ht="19.5" customHeight="true" spans="1:3">
      <c r="A15" s="40">
        <v>10</v>
      </c>
      <c r="B15" s="216" t="s">
        <v>17</v>
      </c>
      <c r="C15" s="217">
        <v>910</v>
      </c>
    </row>
    <row r="16" s="203" customFormat="true" ht="19.5" customHeight="true" spans="1:3">
      <c r="A16" s="40">
        <v>11</v>
      </c>
      <c r="B16" s="216" t="s">
        <v>18</v>
      </c>
      <c r="C16" s="217"/>
    </row>
    <row r="17" s="202" customFormat="true" ht="19.5" customHeight="true" spans="1:3">
      <c r="A17" s="214" t="s">
        <v>19</v>
      </c>
      <c r="B17" s="214" t="s">
        <v>20</v>
      </c>
      <c r="C17" s="215">
        <v>1002</v>
      </c>
    </row>
    <row r="18" s="203" customFormat="true" ht="19.5" customHeight="true" spans="1:3">
      <c r="A18" s="40">
        <v>1</v>
      </c>
      <c r="B18" s="216" t="s">
        <v>21</v>
      </c>
      <c r="C18" s="217"/>
    </row>
    <row r="19" s="203" customFormat="true" ht="19.5" customHeight="true" spans="1:3">
      <c r="A19" s="40">
        <v>2</v>
      </c>
      <c r="B19" s="216" t="s">
        <v>22</v>
      </c>
      <c r="C19" s="217"/>
    </row>
    <row r="20" s="203" customFormat="true" ht="19.5" customHeight="true" spans="1:3">
      <c r="A20" s="40">
        <v>3</v>
      </c>
      <c r="B20" s="216" t="s">
        <v>23</v>
      </c>
      <c r="C20" s="217">
        <v>1002</v>
      </c>
    </row>
    <row r="21" s="203" customFormat="true" ht="19.5" customHeight="true" spans="1:3">
      <c r="A21" s="40">
        <v>4</v>
      </c>
      <c r="B21" s="216" t="s">
        <v>24</v>
      </c>
      <c r="C21" s="217"/>
    </row>
    <row r="22" s="203" customFormat="true" ht="19.5" customHeight="true" spans="1:3">
      <c r="A22" s="40">
        <v>5</v>
      </c>
      <c r="B22" s="216" t="s">
        <v>25</v>
      </c>
      <c r="C22" s="217"/>
    </row>
    <row r="23" s="203" customFormat="true" ht="19.5" customHeight="true" spans="1:3">
      <c r="A23" s="40">
        <v>6</v>
      </c>
      <c r="B23" s="216" t="s">
        <v>26</v>
      </c>
      <c r="C23" s="217"/>
    </row>
    <row r="24" s="203" customFormat="true" ht="19.5" customHeight="true" spans="1:3">
      <c r="A24" s="40">
        <v>7</v>
      </c>
      <c r="B24" s="216" t="s">
        <v>27</v>
      </c>
      <c r="C24" s="217"/>
    </row>
    <row r="25" s="202" customFormat="true" ht="19.5" customHeight="true" spans="1:3">
      <c r="A25" s="214" t="s">
        <v>28</v>
      </c>
      <c r="B25" s="214" t="s">
        <v>29</v>
      </c>
      <c r="C25" s="215">
        <v>1691</v>
      </c>
    </row>
    <row r="26" s="203" customFormat="true" ht="19.5" customHeight="true" spans="1:3">
      <c r="A26" s="40">
        <v>1</v>
      </c>
      <c r="B26" s="216" t="s">
        <v>30</v>
      </c>
      <c r="C26" s="217"/>
    </row>
    <row r="27" s="203" customFormat="true" ht="19.5" customHeight="true" spans="1:3">
      <c r="A27" s="40">
        <v>2</v>
      </c>
      <c r="B27" s="216" t="s">
        <v>31</v>
      </c>
      <c r="C27" s="217"/>
    </row>
    <row r="28" s="203" customFormat="true" ht="19.5" customHeight="true" spans="1:3">
      <c r="A28" s="40">
        <v>3</v>
      </c>
      <c r="B28" s="216" t="s">
        <v>32</v>
      </c>
      <c r="C28" s="217"/>
    </row>
    <row r="29" s="203" customFormat="true" ht="19.5" customHeight="true" spans="1:3">
      <c r="A29" s="40">
        <v>4</v>
      </c>
      <c r="B29" s="216" t="s">
        <v>33</v>
      </c>
      <c r="C29" s="217"/>
    </row>
    <row r="30" s="203" customFormat="true" ht="19.5" customHeight="true" spans="1:3">
      <c r="A30" s="40">
        <v>5</v>
      </c>
      <c r="B30" s="216" t="s">
        <v>34</v>
      </c>
      <c r="C30" s="217"/>
    </row>
    <row r="31" s="203" customFormat="true" ht="19.5" customHeight="true" spans="1:3">
      <c r="A31" s="40">
        <v>6</v>
      </c>
      <c r="B31" s="216" t="s">
        <v>35</v>
      </c>
      <c r="C31" s="217">
        <v>833</v>
      </c>
    </row>
    <row r="32" s="203" customFormat="true" ht="19.5" customHeight="true" spans="1:3">
      <c r="A32" s="40">
        <v>7</v>
      </c>
      <c r="B32" s="216" t="s">
        <v>36</v>
      </c>
      <c r="C32" s="217">
        <v>858</v>
      </c>
    </row>
    <row r="33" s="202" customFormat="true" ht="19.5" customHeight="true" spans="1:3">
      <c r="A33" s="214" t="s">
        <v>37</v>
      </c>
      <c r="B33" s="218" t="s">
        <v>38</v>
      </c>
      <c r="C33" s="215">
        <v>0</v>
      </c>
    </row>
    <row r="34" s="203" customFormat="true" ht="19.5" customHeight="true" spans="1:3">
      <c r="A34" s="40">
        <v>1</v>
      </c>
      <c r="B34" s="216" t="s">
        <v>39</v>
      </c>
      <c r="C34" s="217"/>
    </row>
    <row r="35" s="203" customFormat="true" ht="19.5" customHeight="true" spans="1:3">
      <c r="A35" s="40">
        <v>2</v>
      </c>
      <c r="B35" s="216" t="s">
        <v>40</v>
      </c>
      <c r="C35" s="217"/>
    </row>
    <row r="36" s="203" customFormat="true" ht="19.5" customHeight="true" spans="1:3">
      <c r="A36" s="40">
        <v>3</v>
      </c>
      <c r="B36" s="216" t="s">
        <v>41</v>
      </c>
      <c r="C36" s="217"/>
    </row>
    <row r="37" s="203" customFormat="true" ht="19.5" customHeight="true" spans="1:3">
      <c r="A37" s="40">
        <v>4</v>
      </c>
      <c r="B37" s="216" t="s">
        <v>42</v>
      </c>
      <c r="C37" s="217"/>
    </row>
    <row r="38" s="202" customFormat="true" ht="19.5" customHeight="true" spans="1:3">
      <c r="A38" s="214" t="s">
        <v>43</v>
      </c>
      <c r="B38" s="214" t="s">
        <v>44</v>
      </c>
      <c r="C38" s="215">
        <v>0</v>
      </c>
    </row>
    <row r="39" s="203" customFormat="true" ht="19.5" customHeight="true" spans="1:3">
      <c r="A39" s="40">
        <v>1</v>
      </c>
      <c r="B39" s="216" t="s">
        <v>45</v>
      </c>
      <c r="C39" s="217"/>
    </row>
    <row r="40" s="203" customFormat="true" ht="19.5" customHeight="true" spans="1:3">
      <c r="A40" s="40">
        <v>2</v>
      </c>
      <c r="B40" s="216" t="s">
        <v>46</v>
      </c>
      <c r="C40" s="217"/>
    </row>
    <row r="41" s="203" customFormat="true" ht="19.5" customHeight="true" spans="1:3">
      <c r="A41" s="40">
        <v>3</v>
      </c>
      <c r="B41" s="216" t="s">
        <v>47</v>
      </c>
      <c r="C41" s="217"/>
    </row>
    <row r="42" s="203" customFormat="true" ht="19.5" customHeight="true" spans="1:3">
      <c r="A42" s="40">
        <v>4</v>
      </c>
      <c r="B42" s="216" t="s">
        <v>48</v>
      </c>
      <c r="C42" s="217"/>
    </row>
    <row r="43" s="203" customFormat="true" ht="19.5" customHeight="true" spans="1:3">
      <c r="A43" s="40">
        <v>5</v>
      </c>
      <c r="B43" s="216" t="s">
        <v>49</v>
      </c>
      <c r="C43" s="217"/>
    </row>
    <row r="44" s="203" customFormat="true" ht="19.5" customHeight="true" spans="1:3">
      <c r="A44" s="40">
        <v>6</v>
      </c>
      <c r="B44" s="216" t="s">
        <v>50</v>
      </c>
      <c r="C44" s="217"/>
    </row>
    <row r="45" s="203" customFormat="true" ht="19.5" customHeight="true" spans="1:3">
      <c r="A45" s="40">
        <v>7</v>
      </c>
      <c r="B45" s="216" t="s">
        <v>51</v>
      </c>
      <c r="C45" s="217"/>
    </row>
    <row r="46" s="202" customFormat="true" ht="19.5" customHeight="true" spans="1:3">
      <c r="A46" s="214" t="s">
        <v>52</v>
      </c>
      <c r="B46" s="214" t="s">
        <v>53</v>
      </c>
      <c r="C46" s="215">
        <v>0</v>
      </c>
    </row>
    <row r="47" s="203" customFormat="true" ht="19.5" customHeight="true" spans="1:3">
      <c r="A47" s="40">
        <v>1</v>
      </c>
      <c r="B47" s="216" t="s">
        <v>54</v>
      </c>
      <c r="C47" s="217"/>
    </row>
    <row r="48" s="203" customFormat="true" ht="19.5" customHeight="true" spans="1:3">
      <c r="A48" s="40">
        <v>2</v>
      </c>
      <c r="B48" s="216" t="s">
        <v>55</v>
      </c>
      <c r="C48" s="217"/>
    </row>
    <row r="49" s="202" customFormat="true" ht="19.5" customHeight="true" spans="1:3">
      <c r="A49" s="214" t="s">
        <v>56</v>
      </c>
      <c r="B49" s="214" t="s">
        <v>57</v>
      </c>
      <c r="C49" s="215">
        <v>0</v>
      </c>
    </row>
    <row r="50" s="203" customFormat="true" ht="19.5" customHeight="true" spans="1:3">
      <c r="A50" s="40">
        <v>1</v>
      </c>
      <c r="B50" s="216" t="s">
        <v>58</v>
      </c>
      <c r="C50" s="217"/>
    </row>
    <row r="51" s="202" customFormat="true" ht="19.5" customHeight="true" spans="1:3">
      <c r="A51" s="214" t="s">
        <v>59</v>
      </c>
      <c r="B51" s="214" t="s">
        <v>60</v>
      </c>
      <c r="C51" s="215">
        <v>664</v>
      </c>
    </row>
    <row r="52" s="203" customFormat="true" ht="19.5" customHeight="true" spans="1:3">
      <c r="A52" s="40">
        <v>1</v>
      </c>
      <c r="B52" s="216" t="s">
        <v>61</v>
      </c>
      <c r="C52" s="217"/>
    </row>
    <row r="53" s="203" customFormat="true" ht="19.5" customHeight="true" spans="1:3">
      <c r="A53" s="40">
        <v>2</v>
      </c>
      <c r="B53" s="216" t="s">
        <v>62</v>
      </c>
      <c r="C53" s="217">
        <v>664</v>
      </c>
    </row>
    <row r="54" s="203" customFormat="true" ht="19.5" customHeight="true" spans="1:3">
      <c r="A54" s="40">
        <v>3</v>
      </c>
      <c r="B54" s="216" t="s">
        <v>63</v>
      </c>
      <c r="C54" s="217"/>
    </row>
    <row r="55" s="202" customFormat="true" ht="19.5" customHeight="true" spans="1:3">
      <c r="A55" s="214" t="s">
        <v>64</v>
      </c>
      <c r="B55" s="214" t="s">
        <v>65</v>
      </c>
      <c r="C55" s="215">
        <v>0</v>
      </c>
    </row>
    <row r="56" s="203" customFormat="true" ht="19.5" customHeight="true" spans="1:3">
      <c r="A56" s="40">
        <v>1</v>
      </c>
      <c r="B56" s="216" t="s">
        <v>66</v>
      </c>
      <c r="C56" s="217"/>
    </row>
    <row r="57" s="203" customFormat="true" ht="19.5" customHeight="true" spans="1:3">
      <c r="A57" s="40">
        <v>2</v>
      </c>
      <c r="B57" s="216" t="s">
        <v>67</v>
      </c>
      <c r="C57" s="217"/>
    </row>
    <row r="58" s="203" customFormat="true" ht="19.5" customHeight="true" spans="1:3">
      <c r="A58" s="40">
        <v>3</v>
      </c>
      <c r="B58" s="216" t="s">
        <v>68</v>
      </c>
      <c r="C58" s="217"/>
    </row>
    <row r="59" s="202" customFormat="true" ht="19.5" customHeight="true" spans="1:3">
      <c r="A59" s="214" t="s">
        <v>69</v>
      </c>
      <c r="B59" s="218" t="s">
        <v>70</v>
      </c>
      <c r="C59" s="215">
        <v>0</v>
      </c>
    </row>
    <row r="60" s="203" customFormat="true" ht="19.5" customHeight="true" spans="1:3">
      <c r="A60" s="40">
        <v>1</v>
      </c>
      <c r="B60" s="216" t="s">
        <v>71</v>
      </c>
      <c r="C60" s="217"/>
    </row>
    <row r="61" s="203" customFormat="true" ht="19.5" customHeight="true" spans="1:3">
      <c r="A61" s="40">
        <v>2</v>
      </c>
      <c r="B61" s="216" t="s">
        <v>72</v>
      </c>
      <c r="C61" s="217"/>
    </row>
    <row r="62" s="203" customFormat="true" ht="19.5" customHeight="true" spans="1:3">
      <c r="A62" s="40">
        <v>3</v>
      </c>
      <c r="B62" s="216" t="s">
        <v>73</v>
      </c>
      <c r="C62" s="217"/>
    </row>
    <row r="63" s="203" customFormat="true" ht="19.5" customHeight="true" spans="1:3">
      <c r="A63" s="40">
        <v>4</v>
      </c>
      <c r="B63" s="216" t="s">
        <v>74</v>
      </c>
      <c r="C63" s="217"/>
    </row>
    <row r="64" s="203" customFormat="true" ht="19.5" customHeight="true" spans="1:3">
      <c r="A64" s="40">
        <v>5</v>
      </c>
      <c r="B64" s="216" t="s">
        <v>75</v>
      </c>
      <c r="C64" s="217"/>
    </row>
    <row r="65" s="203" customFormat="true" ht="19.5" customHeight="true" spans="1:3">
      <c r="A65" s="40">
        <v>6</v>
      </c>
      <c r="B65" s="216" t="s">
        <v>76</v>
      </c>
      <c r="C65" s="217"/>
    </row>
    <row r="66" s="203" customFormat="true" ht="19.5" customHeight="true" spans="1:3">
      <c r="A66" s="40">
        <v>7</v>
      </c>
      <c r="B66" s="216" t="s">
        <v>77</v>
      </c>
      <c r="C66" s="217"/>
    </row>
    <row r="67" s="203" customFormat="true" ht="19.5" customHeight="true" spans="1:3">
      <c r="A67" s="40">
        <v>8</v>
      </c>
      <c r="B67" s="216" t="s">
        <v>78</v>
      </c>
      <c r="C67" s="217"/>
    </row>
    <row r="68" s="203" customFormat="true" ht="19.5" customHeight="true" spans="1:3">
      <c r="A68" s="40">
        <v>9</v>
      </c>
      <c r="B68" s="216" t="s">
        <v>79</v>
      </c>
      <c r="C68" s="217"/>
    </row>
    <row r="69" s="202" customFormat="true" ht="19.5" customHeight="true" spans="1:3">
      <c r="A69" s="214" t="s">
        <v>80</v>
      </c>
      <c r="B69" s="214" t="s">
        <v>81</v>
      </c>
      <c r="C69" s="215">
        <v>2670</v>
      </c>
    </row>
    <row r="70" s="203" customFormat="true" ht="19.5" customHeight="true" spans="1:3">
      <c r="A70" s="40">
        <v>1</v>
      </c>
      <c r="B70" s="216" t="s">
        <v>82</v>
      </c>
      <c r="C70" s="217"/>
    </row>
    <row r="71" s="203" customFormat="true" ht="19.5" customHeight="true" spans="1:3">
      <c r="A71" s="40">
        <v>2</v>
      </c>
      <c r="B71" s="216" t="s">
        <v>83</v>
      </c>
      <c r="C71" s="217"/>
    </row>
    <row r="72" s="203" customFormat="true" ht="19.5" customHeight="true" spans="1:3">
      <c r="A72" s="40">
        <v>3</v>
      </c>
      <c r="B72" s="216" t="s">
        <v>84</v>
      </c>
      <c r="C72" s="217"/>
    </row>
    <row r="73" s="203" customFormat="true" ht="19.5" customHeight="true" spans="1:3">
      <c r="A73" s="40">
        <v>4</v>
      </c>
      <c r="B73" s="216" t="s">
        <v>85</v>
      </c>
      <c r="C73" s="217"/>
    </row>
    <row r="74" s="203" customFormat="true" ht="19.5" customHeight="true" spans="1:3">
      <c r="A74" s="40">
        <v>5</v>
      </c>
      <c r="B74" s="216" t="s">
        <v>86</v>
      </c>
      <c r="C74" s="217"/>
    </row>
    <row r="75" s="203" customFormat="true" ht="19.5" customHeight="true" spans="1:3">
      <c r="A75" s="40">
        <v>6</v>
      </c>
      <c r="B75" s="216" t="s">
        <v>87</v>
      </c>
      <c r="C75" s="217"/>
    </row>
    <row r="76" s="203" customFormat="true" ht="19.5" customHeight="true" spans="1:3">
      <c r="A76" s="40">
        <v>7</v>
      </c>
      <c r="B76" s="216" t="s">
        <v>88</v>
      </c>
      <c r="C76" s="217">
        <v>718</v>
      </c>
    </row>
    <row r="77" s="203" customFormat="true" ht="19.5" customHeight="true" spans="1:3">
      <c r="A77" s="40">
        <v>8</v>
      </c>
      <c r="B77" s="216" t="s">
        <v>89</v>
      </c>
      <c r="C77" s="217"/>
    </row>
    <row r="78" s="203" customFormat="true" ht="19.5" customHeight="true" spans="1:3">
      <c r="A78" s="40">
        <v>9</v>
      </c>
      <c r="B78" s="216" t="s">
        <v>90</v>
      </c>
      <c r="C78" s="217">
        <v>1952</v>
      </c>
    </row>
    <row r="79" s="202" customFormat="true" ht="19.5" customHeight="true" spans="1:3">
      <c r="A79" s="214" t="s">
        <v>91</v>
      </c>
      <c r="B79" s="218" t="s">
        <v>92</v>
      </c>
      <c r="C79" s="215">
        <v>6541</v>
      </c>
    </row>
    <row r="80" s="203" customFormat="true" ht="19.5" customHeight="true" spans="1:3">
      <c r="A80" s="40">
        <v>1</v>
      </c>
      <c r="B80" s="216" t="s">
        <v>93</v>
      </c>
      <c r="C80" s="217">
        <v>2231</v>
      </c>
    </row>
    <row r="81" s="203" customFormat="true" ht="19.5" customHeight="true" spans="1:3">
      <c r="A81" s="40">
        <v>2</v>
      </c>
      <c r="B81" s="216" t="s">
        <v>94</v>
      </c>
      <c r="C81" s="217">
        <v>2414</v>
      </c>
    </row>
    <row r="82" s="203" customFormat="true" ht="19.5" customHeight="true" spans="1:3">
      <c r="A82" s="40">
        <v>3</v>
      </c>
      <c r="B82" s="216" t="s">
        <v>95</v>
      </c>
      <c r="C82" s="217">
        <v>856</v>
      </c>
    </row>
    <row r="83" s="203" customFormat="true" ht="19.5" customHeight="true" spans="1:3">
      <c r="A83" s="40">
        <v>4</v>
      </c>
      <c r="B83" s="216" t="s">
        <v>96</v>
      </c>
      <c r="C83" s="217">
        <v>1040</v>
      </c>
    </row>
    <row r="84" s="202" customFormat="true" ht="19.5" customHeight="true" spans="1:3">
      <c r="A84" s="214" t="s">
        <v>97</v>
      </c>
      <c r="B84" s="214" t="s">
        <v>98</v>
      </c>
      <c r="C84" s="215">
        <v>23222</v>
      </c>
    </row>
    <row r="85" s="203" customFormat="true" ht="19.5" customHeight="true" spans="1:3">
      <c r="A85" s="40">
        <v>1</v>
      </c>
      <c r="B85" s="216" t="s">
        <v>99</v>
      </c>
      <c r="C85" s="217">
        <v>1418</v>
      </c>
    </row>
    <row r="86" s="203" customFormat="true" ht="19.5" customHeight="true" spans="1:3">
      <c r="A86" s="40">
        <v>2</v>
      </c>
      <c r="B86" s="216" t="s">
        <v>100</v>
      </c>
      <c r="C86" s="217">
        <v>1659</v>
      </c>
    </row>
    <row r="87" s="203" customFormat="true" ht="19.5" customHeight="true" spans="1:3">
      <c r="A87" s="40">
        <v>3</v>
      </c>
      <c r="B87" s="216" t="s">
        <v>101</v>
      </c>
      <c r="C87" s="217">
        <v>2073</v>
      </c>
    </row>
    <row r="88" s="203" customFormat="true" ht="19.5" customHeight="true" spans="1:3">
      <c r="A88" s="40">
        <v>4</v>
      </c>
      <c r="B88" s="216" t="s">
        <v>102</v>
      </c>
      <c r="C88" s="217">
        <v>2042</v>
      </c>
    </row>
    <row r="89" s="203" customFormat="true" ht="19.5" customHeight="true" spans="1:3">
      <c r="A89" s="40">
        <v>5</v>
      </c>
      <c r="B89" s="216" t="s">
        <v>103</v>
      </c>
      <c r="C89" s="217">
        <v>1552</v>
      </c>
    </row>
    <row r="90" s="203" customFormat="true" ht="19.5" customHeight="true" spans="1:3">
      <c r="A90" s="40">
        <v>6</v>
      </c>
      <c r="B90" s="216" t="s">
        <v>104</v>
      </c>
      <c r="C90" s="217">
        <v>3659</v>
      </c>
    </row>
    <row r="91" s="203" customFormat="true" ht="19.5" customHeight="true" spans="1:3">
      <c r="A91" s="40">
        <v>7</v>
      </c>
      <c r="B91" s="216" t="s">
        <v>105</v>
      </c>
      <c r="C91" s="217">
        <v>1105</v>
      </c>
    </row>
    <row r="92" s="203" customFormat="true" ht="19.5" customHeight="true" spans="1:3">
      <c r="A92" s="40">
        <v>8</v>
      </c>
      <c r="B92" s="216" t="s">
        <v>106</v>
      </c>
      <c r="C92" s="217">
        <v>1207</v>
      </c>
    </row>
    <row r="93" s="203" customFormat="true" ht="19.5" customHeight="true" spans="1:3">
      <c r="A93" s="40">
        <v>9</v>
      </c>
      <c r="B93" s="216" t="s">
        <v>107</v>
      </c>
      <c r="C93" s="217">
        <v>2364</v>
      </c>
    </row>
    <row r="94" s="203" customFormat="true" ht="19.5" customHeight="true" spans="1:3">
      <c r="A94" s="40">
        <v>10</v>
      </c>
      <c r="B94" s="216" t="s">
        <v>108</v>
      </c>
      <c r="C94" s="217">
        <v>1608</v>
      </c>
    </row>
    <row r="95" s="203" customFormat="true" ht="19.5" customHeight="true" spans="1:3">
      <c r="A95" s="40">
        <v>11</v>
      </c>
      <c r="B95" s="216" t="s">
        <v>109</v>
      </c>
      <c r="C95" s="217">
        <v>3109</v>
      </c>
    </row>
    <row r="96" s="203" customFormat="true" ht="19.5" customHeight="true" spans="1:3">
      <c r="A96" s="40">
        <v>12</v>
      </c>
      <c r="B96" s="216" t="s">
        <v>110</v>
      </c>
      <c r="C96" s="217">
        <v>1426</v>
      </c>
    </row>
    <row r="97" s="202" customFormat="true" ht="19.5" customHeight="true" spans="1:3">
      <c r="A97" s="214" t="s">
        <v>111</v>
      </c>
      <c r="B97" s="214" t="s">
        <v>112</v>
      </c>
      <c r="C97" s="215">
        <v>17737</v>
      </c>
    </row>
    <row r="98" s="203" customFormat="true" ht="19.5" customHeight="true" spans="1:3">
      <c r="A98" s="40">
        <v>1</v>
      </c>
      <c r="B98" s="216" t="s">
        <v>113</v>
      </c>
      <c r="C98" s="217">
        <v>1661</v>
      </c>
    </row>
    <row r="99" s="203" customFormat="true" ht="19.5" customHeight="true" spans="1:3">
      <c r="A99" s="40">
        <v>2</v>
      </c>
      <c r="B99" s="216" t="s">
        <v>114</v>
      </c>
      <c r="C99" s="217">
        <v>3883</v>
      </c>
    </row>
    <row r="100" s="203" customFormat="true" ht="19.5" customHeight="true" spans="1:3">
      <c r="A100" s="40">
        <v>3</v>
      </c>
      <c r="B100" s="216" t="s">
        <v>115</v>
      </c>
      <c r="C100" s="217">
        <v>2189</v>
      </c>
    </row>
    <row r="101" s="203" customFormat="true" ht="19.5" customHeight="true" spans="1:3">
      <c r="A101" s="40">
        <v>4</v>
      </c>
      <c r="B101" s="216" t="s">
        <v>116</v>
      </c>
      <c r="C101" s="217">
        <v>1573</v>
      </c>
    </row>
    <row r="102" s="203" customFormat="true" ht="19.5" customHeight="true" spans="1:3">
      <c r="A102" s="40">
        <v>5</v>
      </c>
      <c r="B102" s="216" t="s">
        <v>117</v>
      </c>
      <c r="C102" s="217">
        <v>2091</v>
      </c>
    </row>
    <row r="103" s="203" customFormat="true" ht="19.5" customHeight="true" spans="1:3">
      <c r="A103" s="40">
        <v>6</v>
      </c>
      <c r="B103" s="216" t="s">
        <v>118</v>
      </c>
      <c r="C103" s="217">
        <v>722</v>
      </c>
    </row>
    <row r="104" s="203" customFormat="true" ht="19.5" customHeight="true" spans="1:3">
      <c r="A104" s="40">
        <v>7</v>
      </c>
      <c r="B104" s="216" t="s">
        <v>119</v>
      </c>
      <c r="C104" s="217">
        <v>2917</v>
      </c>
    </row>
    <row r="105" s="203" customFormat="true" ht="19.5" customHeight="true" spans="1:3">
      <c r="A105" s="40">
        <v>8</v>
      </c>
      <c r="B105" s="216" t="s">
        <v>120</v>
      </c>
      <c r="C105" s="217">
        <v>2701</v>
      </c>
    </row>
    <row r="106" spans="3:3">
      <c r="C106" s="219"/>
    </row>
  </sheetData>
  <mergeCells count="2">
    <mergeCell ref="A1:C1"/>
    <mergeCell ref="A2:C2"/>
  </mergeCells>
  <pageMargins left="0.550694444444444" right="0.432638888888889" top="0.511805555555556" bottom="0.432638888888889" header="0.5" footer="0.5"/>
  <pageSetup paperSize="9" fitToHeight="0" orientation="landscape" horizontalDpi="600"/>
  <headerFooter/>
  <rowBreaks count="5" manualBreakCount="5">
    <brk id="36" max="16383" man="1"/>
    <brk id="74" max="16383" man="1"/>
    <brk id="105" max="16383" man="1"/>
    <brk id="105" max="16383" man="1"/>
    <brk id="1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view="pageBreakPreview" zoomScaleNormal="100" zoomScaleSheetLayoutView="100" workbookViewId="0">
      <selection activeCell="L14" sqref="L14"/>
    </sheetView>
  </sheetViews>
  <sheetFormatPr defaultColWidth="9" defaultRowHeight="14.25"/>
  <cols>
    <col min="1" max="1" width="6.625" style="154" customWidth="true"/>
    <col min="2" max="2" width="19.75" style="102" customWidth="true"/>
    <col min="3" max="3" width="10.625" style="155" customWidth="true"/>
    <col min="4" max="9" width="10.625" style="103" customWidth="true"/>
    <col min="10" max="11" width="8.625" style="156" customWidth="true"/>
    <col min="12" max="12" width="11.625" style="105" customWidth="true"/>
    <col min="13" max="13" width="10.625" style="103" customWidth="true"/>
    <col min="14" max="16384" width="9" style="102"/>
  </cols>
  <sheetData>
    <row r="1" s="102" customFormat="true" ht="28" customHeight="true" spans="1:13">
      <c r="A1" s="157" t="s">
        <v>121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="102" customFormat="true" ht="27" customHeight="true" spans="1:13">
      <c r="A2" s="159" t="s">
        <v>122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="102" customFormat="true" ht="21" customHeight="true" spans="1:13">
      <c r="A3" s="160"/>
      <c r="B3" s="161">
        <v>9556</v>
      </c>
      <c r="C3" s="162">
        <f>B3*0.25</f>
        <v>2389</v>
      </c>
      <c r="D3" s="163"/>
      <c r="E3" s="163"/>
      <c r="F3" s="162">
        <f>B3*0.25</f>
        <v>2389</v>
      </c>
      <c r="G3" s="161"/>
      <c r="H3" s="162">
        <f>B3*0.4</f>
        <v>3822.4</v>
      </c>
      <c r="I3" s="161"/>
      <c r="J3" s="162">
        <f>B3*0.1</f>
        <v>955.6</v>
      </c>
      <c r="K3" s="161"/>
      <c r="L3" s="185" t="s">
        <v>123</v>
      </c>
      <c r="M3" s="185"/>
    </row>
    <row r="4" s="153" customFormat="true" ht="40" customHeight="true" spans="1:13">
      <c r="A4" s="164" t="s">
        <v>2</v>
      </c>
      <c r="B4" s="165" t="s">
        <v>124</v>
      </c>
      <c r="C4" s="166" t="s">
        <v>125</v>
      </c>
      <c r="D4" s="167"/>
      <c r="E4" s="181"/>
      <c r="F4" s="166" t="s">
        <v>126</v>
      </c>
      <c r="G4" s="181"/>
      <c r="H4" s="166" t="s">
        <v>127</v>
      </c>
      <c r="I4" s="181"/>
      <c r="J4" s="186" t="s">
        <v>128</v>
      </c>
      <c r="K4" s="187"/>
      <c r="L4" s="188" t="s">
        <v>129</v>
      </c>
      <c r="M4" s="194" t="s">
        <v>130</v>
      </c>
    </row>
    <row r="5" s="153" customFormat="true" ht="24" customHeight="true" spans="1:13">
      <c r="A5" s="168"/>
      <c r="B5" s="169"/>
      <c r="C5" s="170" t="s">
        <v>131</v>
      </c>
      <c r="D5" s="171" t="s">
        <v>132</v>
      </c>
      <c r="E5" s="182" t="s">
        <v>133</v>
      </c>
      <c r="F5" s="171" t="s">
        <v>134</v>
      </c>
      <c r="G5" s="183" t="s">
        <v>133</v>
      </c>
      <c r="H5" s="171" t="s">
        <v>135</v>
      </c>
      <c r="I5" s="189" t="s">
        <v>133</v>
      </c>
      <c r="J5" s="190" t="s">
        <v>134</v>
      </c>
      <c r="K5" s="191" t="s">
        <v>133</v>
      </c>
      <c r="L5" s="192"/>
      <c r="M5" s="195"/>
    </row>
    <row r="6" s="102" customFormat="true" ht="23" customHeight="true" spans="1:13">
      <c r="A6" s="113">
        <v>10</v>
      </c>
      <c r="B6" s="172" t="s">
        <v>136</v>
      </c>
      <c r="C6" s="117">
        <f>C7+C10+C12+C15+C17+C20+C22</f>
        <v>146923.282848069</v>
      </c>
      <c r="D6" s="117">
        <f>SUM(D7:D23)</f>
        <v>9</v>
      </c>
      <c r="E6" s="130">
        <f t="shared" ref="E6:M6" si="0">SUM(E7,E10,E12,E15,E17,E20,E22)</f>
        <v>2389</v>
      </c>
      <c r="F6" s="130">
        <f t="shared" si="0"/>
        <v>259</v>
      </c>
      <c r="G6" s="130">
        <f t="shared" si="0"/>
        <v>2389</v>
      </c>
      <c r="H6" s="130">
        <f t="shared" si="0"/>
        <v>174093</v>
      </c>
      <c r="I6" s="130">
        <f t="shared" si="0"/>
        <v>3822.4</v>
      </c>
      <c r="J6" s="130">
        <f t="shared" si="0"/>
        <v>7</v>
      </c>
      <c r="K6" s="130">
        <f t="shared" si="0"/>
        <v>955.6</v>
      </c>
      <c r="L6" s="130">
        <f t="shared" si="0"/>
        <v>9556</v>
      </c>
      <c r="M6" s="130">
        <f t="shared" si="0"/>
        <v>9556</v>
      </c>
    </row>
    <row r="7" s="102" customFormat="true" ht="23" customHeight="true" spans="1:14">
      <c r="A7" s="173" t="s">
        <v>6</v>
      </c>
      <c r="B7" s="174" t="s">
        <v>7</v>
      </c>
      <c r="C7" s="120">
        <f t="shared" ref="C7:M7" si="1">SUM(C8:C9)</f>
        <v>14682.7551569901</v>
      </c>
      <c r="D7" s="121"/>
      <c r="E7" s="120">
        <f t="shared" si="1"/>
        <v>504.361740093886</v>
      </c>
      <c r="F7" s="120">
        <f t="shared" si="1"/>
        <v>59</v>
      </c>
      <c r="G7" s="120">
        <f t="shared" si="1"/>
        <v>544.212355212355</v>
      </c>
      <c r="H7" s="120">
        <f t="shared" si="1"/>
        <v>38466</v>
      </c>
      <c r="I7" s="120">
        <f t="shared" si="1"/>
        <v>844.562609639675</v>
      </c>
      <c r="J7" s="120">
        <f t="shared" si="1"/>
        <v>1</v>
      </c>
      <c r="K7" s="120">
        <f t="shared" si="1"/>
        <v>136.514285714286</v>
      </c>
      <c r="L7" s="120">
        <f t="shared" si="1"/>
        <v>2029.6509906602</v>
      </c>
      <c r="M7" s="120">
        <f t="shared" si="1"/>
        <v>2029</v>
      </c>
      <c r="N7" s="196"/>
    </row>
    <row r="8" s="102" customFormat="true" ht="23" customHeight="true" spans="1:14">
      <c r="A8" s="113">
        <v>1</v>
      </c>
      <c r="B8" s="175" t="s">
        <v>15</v>
      </c>
      <c r="C8" s="176">
        <v>7366.02046311255</v>
      </c>
      <c r="D8" s="124">
        <f t="shared" ref="D8:D11" si="2">IF((C8/$C$6)&gt;1,ABS(1-C8/$C$6-1),1-C8/$C$6)</f>
        <v>0.949864852456845</v>
      </c>
      <c r="E8" s="133">
        <f>$C$3*D8/$D$6</f>
        <v>252.136348057712</v>
      </c>
      <c r="F8" s="134">
        <v>30</v>
      </c>
      <c r="G8" s="135">
        <f>$F$3/$F$6*F8</f>
        <v>276.718146718147</v>
      </c>
      <c r="H8" s="136">
        <v>26861</v>
      </c>
      <c r="I8" s="145">
        <f>$H$3/$H$6*H8</f>
        <v>589.762290270143</v>
      </c>
      <c r="J8" s="145">
        <v>0</v>
      </c>
      <c r="K8" s="145">
        <v>0</v>
      </c>
      <c r="L8" s="151">
        <f t="shared" ref="L8:L11" si="3">SUM(K8,I8,G8,E8)</f>
        <v>1118.616785046</v>
      </c>
      <c r="M8" s="151">
        <v>1119</v>
      </c>
      <c r="N8" s="197"/>
    </row>
    <row r="9" s="102" customFormat="true" ht="23" customHeight="true" spans="1:14">
      <c r="A9" s="113">
        <v>2</v>
      </c>
      <c r="B9" s="175" t="s">
        <v>17</v>
      </c>
      <c r="C9" s="176">
        <v>7316.73469387755</v>
      </c>
      <c r="D9" s="124">
        <f t="shared" si="2"/>
        <v>0.950200304866291</v>
      </c>
      <c r="E9" s="133">
        <f>$C$3*D9/$D$6</f>
        <v>252.225392036174</v>
      </c>
      <c r="F9" s="134">
        <v>29</v>
      </c>
      <c r="G9" s="135">
        <f>$F$3/$F$6*F9</f>
        <v>267.494208494209</v>
      </c>
      <c r="H9" s="136">
        <v>11605</v>
      </c>
      <c r="I9" s="145">
        <f>$H$3/$H$6*H9</f>
        <v>254.800319369532</v>
      </c>
      <c r="J9" s="145">
        <v>1</v>
      </c>
      <c r="K9" s="145">
        <f>J3/7</f>
        <v>136.514285714286</v>
      </c>
      <c r="L9" s="151">
        <f t="shared" si="3"/>
        <v>911.034205614201</v>
      </c>
      <c r="M9" s="130">
        <v>910</v>
      </c>
      <c r="N9" s="196"/>
    </row>
    <row r="10" s="102" customFormat="true" ht="23" customHeight="true" spans="1:14">
      <c r="A10" s="173" t="s">
        <v>19</v>
      </c>
      <c r="B10" s="174" t="s">
        <v>20</v>
      </c>
      <c r="C10" s="120">
        <f>C11</f>
        <v>10101.4492753623</v>
      </c>
      <c r="D10" s="121"/>
      <c r="E10" s="120">
        <f t="shared" ref="E10:M10" si="4">SUM(E11)</f>
        <v>247.194283278668</v>
      </c>
      <c r="F10" s="120">
        <f t="shared" si="4"/>
        <v>22</v>
      </c>
      <c r="G10" s="120">
        <f t="shared" si="4"/>
        <v>202.926640926641</v>
      </c>
      <c r="H10" s="120">
        <f t="shared" si="4"/>
        <v>18905</v>
      </c>
      <c r="I10" s="120">
        <f t="shared" si="4"/>
        <v>415.079710269798</v>
      </c>
      <c r="J10" s="120">
        <f t="shared" si="4"/>
        <v>1</v>
      </c>
      <c r="K10" s="120">
        <f t="shared" si="4"/>
        <v>136.514285714286</v>
      </c>
      <c r="L10" s="120">
        <f t="shared" si="4"/>
        <v>1001.71492018939</v>
      </c>
      <c r="M10" s="120">
        <f t="shared" si="4"/>
        <v>1002</v>
      </c>
      <c r="N10" s="196"/>
    </row>
    <row r="11" s="102" customFormat="true" ht="23" customHeight="true" spans="1:14">
      <c r="A11" s="113">
        <v>1</v>
      </c>
      <c r="B11" s="175" t="s">
        <v>23</v>
      </c>
      <c r="C11" s="176">
        <v>10101.4492753623</v>
      </c>
      <c r="D11" s="124">
        <f t="shared" si="2"/>
        <v>0.931246776688157</v>
      </c>
      <c r="E11" s="133">
        <f>$C$3*D11/$D$6</f>
        <v>247.194283278668</v>
      </c>
      <c r="F11" s="134">
        <v>22</v>
      </c>
      <c r="G11" s="135">
        <f>$F$3/$F$6*F11</f>
        <v>202.926640926641</v>
      </c>
      <c r="H11" s="136">
        <v>18905</v>
      </c>
      <c r="I11" s="145">
        <f>$H$3/$H$6*H11</f>
        <v>415.079710269798</v>
      </c>
      <c r="J11" s="145">
        <v>1</v>
      </c>
      <c r="K11" s="145">
        <f>J3/7</f>
        <v>136.514285714286</v>
      </c>
      <c r="L11" s="151">
        <f t="shared" si="3"/>
        <v>1001.71492018939</v>
      </c>
      <c r="M11" s="151">
        <v>1002</v>
      </c>
      <c r="N11" s="197"/>
    </row>
    <row r="12" s="102" customFormat="true" ht="23" customHeight="true" spans="1:14">
      <c r="A12" s="173" t="s">
        <v>28</v>
      </c>
      <c r="B12" s="174" t="s">
        <v>29</v>
      </c>
      <c r="C12" s="120">
        <f t="shared" ref="C12:M12" si="5">SUM(C13:C14)</f>
        <v>33763.3324468502</v>
      </c>
      <c r="D12" s="121"/>
      <c r="E12" s="120">
        <f t="shared" si="5"/>
        <v>469.889101447337</v>
      </c>
      <c r="F12" s="120">
        <f t="shared" si="5"/>
        <v>54</v>
      </c>
      <c r="G12" s="120">
        <f t="shared" si="5"/>
        <v>498.092664092664</v>
      </c>
      <c r="H12" s="120">
        <f t="shared" si="5"/>
        <v>20492</v>
      </c>
      <c r="I12" s="120">
        <f t="shared" si="5"/>
        <v>449.924010729897</v>
      </c>
      <c r="J12" s="120">
        <f t="shared" si="5"/>
        <v>2</v>
      </c>
      <c r="K12" s="120">
        <f t="shared" si="5"/>
        <v>273.028571428571</v>
      </c>
      <c r="L12" s="120">
        <f t="shared" si="5"/>
        <v>1690.93434769847</v>
      </c>
      <c r="M12" s="120">
        <f t="shared" si="5"/>
        <v>1691</v>
      </c>
      <c r="N12" s="196"/>
    </row>
    <row r="13" s="102" customFormat="true" ht="23" customHeight="true" spans="1:14">
      <c r="A13" s="113">
        <v>1</v>
      </c>
      <c r="B13" s="177" t="s">
        <v>35</v>
      </c>
      <c r="C13" s="176">
        <v>13790.1365705615</v>
      </c>
      <c r="D13" s="124">
        <f t="shared" ref="D13:D16" si="6">IF((C13/$C$6)&gt;1,ABS(1-C13/$C$6-1),1-C13/$C$6)</f>
        <v>0.906140563270549</v>
      </c>
      <c r="E13" s="133">
        <f>$C$3*D13/$D$6</f>
        <v>240.529978405927</v>
      </c>
      <c r="F13" s="134">
        <v>22</v>
      </c>
      <c r="G13" s="135">
        <f>$F$3/$F$6*F13</f>
        <v>202.926640926641</v>
      </c>
      <c r="H13" s="136">
        <v>11513</v>
      </c>
      <c r="I13" s="145">
        <f>$H$3/$H$6*H13</f>
        <v>252.78035992257</v>
      </c>
      <c r="J13" s="145">
        <v>1</v>
      </c>
      <c r="K13" s="145">
        <f>J3/7</f>
        <v>136.514285714286</v>
      </c>
      <c r="L13" s="151">
        <f t="shared" ref="L13:L16" si="7">SUM(K13,I13,G13,E13)</f>
        <v>832.751264969424</v>
      </c>
      <c r="M13" s="151">
        <v>833</v>
      </c>
      <c r="N13" s="197"/>
    </row>
    <row r="14" s="102" customFormat="true" ht="23" customHeight="true" spans="1:14">
      <c r="A14" s="113">
        <v>2</v>
      </c>
      <c r="B14" s="177" t="s">
        <v>36</v>
      </c>
      <c r="C14" s="176">
        <v>19973.1958762887</v>
      </c>
      <c r="D14" s="124">
        <f t="shared" si="6"/>
        <v>0.86405697252938</v>
      </c>
      <c r="E14" s="133">
        <f>$C$3*D14/$D$6</f>
        <v>229.35912304141</v>
      </c>
      <c r="F14" s="134">
        <v>32</v>
      </c>
      <c r="G14" s="135">
        <f>$F$3/$F$6*F14</f>
        <v>295.166023166023</v>
      </c>
      <c r="H14" s="136">
        <v>8979</v>
      </c>
      <c r="I14" s="145">
        <f>$H$3/$H$6*H14</f>
        <v>197.143650807327</v>
      </c>
      <c r="J14" s="145">
        <v>1</v>
      </c>
      <c r="K14" s="145">
        <f>J3/7</f>
        <v>136.514285714286</v>
      </c>
      <c r="L14" s="151">
        <f t="shared" si="7"/>
        <v>858.183082729046</v>
      </c>
      <c r="M14" s="151">
        <v>858</v>
      </c>
      <c r="N14" s="196"/>
    </row>
    <row r="15" s="102" customFormat="true" ht="23" customHeight="true" spans="1:14">
      <c r="A15" s="173" t="s">
        <v>37</v>
      </c>
      <c r="B15" s="178" t="s">
        <v>60</v>
      </c>
      <c r="C15" s="179">
        <f>C16</f>
        <v>13038.4687208217</v>
      </c>
      <c r="D15" s="121"/>
      <c r="E15" s="184">
        <f t="shared" ref="E15:M15" si="8">SUM(E16)</f>
        <v>241.888007241882</v>
      </c>
      <c r="F15" s="184">
        <f t="shared" si="8"/>
        <v>14</v>
      </c>
      <c r="G15" s="184">
        <f t="shared" si="8"/>
        <v>129.135135135135</v>
      </c>
      <c r="H15" s="184">
        <f t="shared" si="8"/>
        <v>7109</v>
      </c>
      <c r="I15" s="193">
        <f t="shared" si="8"/>
        <v>156.085779439725</v>
      </c>
      <c r="J15" s="193">
        <f t="shared" si="8"/>
        <v>1</v>
      </c>
      <c r="K15" s="193">
        <f t="shared" si="8"/>
        <v>136.514285714286</v>
      </c>
      <c r="L15" s="193">
        <f t="shared" si="8"/>
        <v>663.623207531028</v>
      </c>
      <c r="M15" s="193">
        <f t="shared" si="8"/>
        <v>664</v>
      </c>
      <c r="N15" s="196"/>
    </row>
    <row r="16" s="102" customFormat="true" ht="23" customHeight="true" spans="1:14">
      <c r="A16" s="113">
        <v>1</v>
      </c>
      <c r="B16" s="180" t="s">
        <v>62</v>
      </c>
      <c r="C16" s="176">
        <v>13038.4687208217</v>
      </c>
      <c r="D16" s="124">
        <f t="shared" si="6"/>
        <v>0.91125661999872</v>
      </c>
      <c r="E16" s="133">
        <f>$C$3*D16/$D$6</f>
        <v>241.888007241882</v>
      </c>
      <c r="F16" s="134">
        <v>14</v>
      </c>
      <c r="G16" s="135">
        <f>$F$3/$F$6*F16</f>
        <v>129.135135135135</v>
      </c>
      <c r="H16" s="136">
        <v>7109</v>
      </c>
      <c r="I16" s="145">
        <f>$H$3/$H$6*H16</f>
        <v>156.085779439725</v>
      </c>
      <c r="J16" s="145">
        <v>1</v>
      </c>
      <c r="K16" s="145">
        <f>J3/7</f>
        <v>136.514285714286</v>
      </c>
      <c r="L16" s="151">
        <f t="shared" si="7"/>
        <v>663.623207531028</v>
      </c>
      <c r="M16" s="151">
        <v>664</v>
      </c>
      <c r="N16" s="198"/>
    </row>
    <row r="17" s="102" customFormat="true" ht="23" customHeight="true" spans="1:14">
      <c r="A17" s="173" t="s">
        <v>43</v>
      </c>
      <c r="B17" s="174" t="s">
        <v>137</v>
      </c>
      <c r="C17" s="120">
        <f t="shared" ref="C17:M17" si="9">SUM(C18:C19)</f>
        <v>49798.5249836508</v>
      </c>
      <c r="D17" s="121"/>
      <c r="E17" s="120">
        <f t="shared" si="9"/>
        <v>440.918521073821</v>
      </c>
      <c r="F17" s="120">
        <f t="shared" si="9"/>
        <v>45</v>
      </c>
      <c r="G17" s="120">
        <f t="shared" si="9"/>
        <v>415.07722007722</v>
      </c>
      <c r="H17" s="120">
        <f t="shared" si="9"/>
        <v>34933</v>
      </c>
      <c r="I17" s="120">
        <f t="shared" si="9"/>
        <v>766.991775660136</v>
      </c>
      <c r="J17" s="120">
        <f t="shared" si="9"/>
        <v>2</v>
      </c>
      <c r="K17" s="120">
        <f t="shared" si="9"/>
        <v>273.028571428571</v>
      </c>
      <c r="L17" s="120">
        <f t="shared" si="9"/>
        <v>1896.01608823975</v>
      </c>
      <c r="M17" s="120">
        <f t="shared" si="9"/>
        <v>1896</v>
      </c>
      <c r="N17" s="196"/>
    </row>
    <row r="18" s="102" customFormat="true" ht="23" customHeight="true" spans="1:14">
      <c r="A18" s="113">
        <v>1</v>
      </c>
      <c r="B18" s="175" t="s">
        <v>95</v>
      </c>
      <c r="C18" s="176">
        <v>23808.1497797357</v>
      </c>
      <c r="D18" s="124">
        <f t="shared" ref="D18:D21" si="10">IF((C18/$C$6)&gt;1,ABS(1-C18/$C$6-1),1-C18/$C$6)</f>
        <v>0.837955228618494</v>
      </c>
      <c r="E18" s="133">
        <f>$C$3*D18/$D$6</f>
        <v>222.430560129954</v>
      </c>
      <c r="F18" s="134">
        <v>17</v>
      </c>
      <c r="G18" s="135">
        <f>$F$3/$F$6*F18</f>
        <v>156.80694980695</v>
      </c>
      <c r="H18" s="136">
        <v>15500</v>
      </c>
      <c r="I18" s="145">
        <f>$H$3/$H$6*H18</f>
        <v>340.31925465125</v>
      </c>
      <c r="J18" s="145">
        <v>1</v>
      </c>
      <c r="K18" s="145">
        <f>J3/7</f>
        <v>136.514285714286</v>
      </c>
      <c r="L18" s="151">
        <f t="shared" ref="L18:L21" si="11">SUM(K18,I18,G18,E18)</f>
        <v>856.071050302439</v>
      </c>
      <c r="M18" s="151">
        <v>856</v>
      </c>
      <c r="N18" s="197"/>
    </row>
    <row r="19" s="102" customFormat="true" ht="23" customHeight="true" spans="1:14">
      <c r="A19" s="113">
        <v>2</v>
      </c>
      <c r="B19" s="175" t="s">
        <v>96</v>
      </c>
      <c r="C19" s="176">
        <v>25990.3752039151</v>
      </c>
      <c r="D19" s="124">
        <f t="shared" si="10"/>
        <v>0.823102406234747</v>
      </c>
      <c r="E19" s="133">
        <f>$C$3*D19/$D$6</f>
        <v>218.487960943868</v>
      </c>
      <c r="F19" s="134">
        <v>28</v>
      </c>
      <c r="G19" s="135">
        <f>$F$3/$F$6*F19</f>
        <v>258.27027027027</v>
      </c>
      <c r="H19" s="136">
        <v>19433</v>
      </c>
      <c r="I19" s="145">
        <f>$H$3/$H$6*H19</f>
        <v>426.672521008886</v>
      </c>
      <c r="J19" s="145">
        <v>1</v>
      </c>
      <c r="K19" s="145">
        <f>J3/7</f>
        <v>136.514285714286</v>
      </c>
      <c r="L19" s="151">
        <f t="shared" si="11"/>
        <v>1039.94503793731</v>
      </c>
      <c r="M19" s="151">
        <v>1040</v>
      </c>
      <c r="N19" s="196"/>
    </row>
    <row r="20" s="102" customFormat="true" ht="23" customHeight="true" spans="1:14">
      <c r="A20" s="173" t="s">
        <v>52</v>
      </c>
      <c r="B20" s="174" t="s">
        <v>98</v>
      </c>
      <c r="C20" s="120">
        <f>C21</f>
        <v>7360.77298978232</v>
      </c>
      <c r="D20" s="121"/>
      <c r="E20" s="184">
        <f t="shared" ref="E20:L20" si="12">SUM(E21:E21)</f>
        <v>252.145828601679</v>
      </c>
      <c r="F20" s="184">
        <f t="shared" si="12"/>
        <v>42</v>
      </c>
      <c r="G20" s="184">
        <f t="shared" si="12"/>
        <v>387.405405405405</v>
      </c>
      <c r="H20" s="184">
        <f t="shared" si="12"/>
        <v>41575</v>
      </c>
      <c r="I20" s="193">
        <f t="shared" si="12"/>
        <v>912.824065298433</v>
      </c>
      <c r="J20" s="193">
        <f t="shared" si="12"/>
        <v>0</v>
      </c>
      <c r="K20" s="193">
        <f t="shared" si="12"/>
        <v>0</v>
      </c>
      <c r="L20" s="193">
        <f t="shared" si="12"/>
        <v>1552.37529930552</v>
      </c>
      <c r="M20" s="193">
        <f>SUM(M21)</f>
        <v>1552</v>
      </c>
      <c r="N20" s="196"/>
    </row>
    <row r="21" s="102" customFormat="true" ht="23" customHeight="true" spans="1:14">
      <c r="A21" s="113">
        <v>1</v>
      </c>
      <c r="B21" s="177" t="s">
        <v>103</v>
      </c>
      <c r="C21" s="176">
        <v>7360.77298978232</v>
      </c>
      <c r="D21" s="124">
        <f t="shared" si="10"/>
        <v>0.949900568193851</v>
      </c>
      <c r="E21" s="133">
        <f>$C$3*D21/$D$6</f>
        <v>252.145828601679</v>
      </c>
      <c r="F21" s="134">
        <v>42</v>
      </c>
      <c r="G21" s="135">
        <f>$F$3/$F$6*F21</f>
        <v>387.405405405405</v>
      </c>
      <c r="H21" s="136">
        <v>41575</v>
      </c>
      <c r="I21" s="145">
        <f>$H$3/$H$6*H21</f>
        <v>912.824065298433</v>
      </c>
      <c r="J21" s="145">
        <v>0</v>
      </c>
      <c r="K21" s="145">
        <v>0</v>
      </c>
      <c r="L21" s="151">
        <f t="shared" si="11"/>
        <v>1552.37529930552</v>
      </c>
      <c r="M21" s="151">
        <v>1552</v>
      </c>
      <c r="N21" s="198"/>
    </row>
    <row r="22" s="102" customFormat="true" ht="23" customHeight="true" spans="1:14">
      <c r="A22" s="173" t="s">
        <v>56</v>
      </c>
      <c r="B22" s="174" t="s">
        <v>112</v>
      </c>
      <c r="C22" s="120">
        <f>C23</f>
        <v>18177.9792746114</v>
      </c>
      <c r="D22" s="121"/>
      <c r="E22" s="184">
        <f t="shared" ref="E22:L22" si="13">SUM(E23:E23)</f>
        <v>232.602518262727</v>
      </c>
      <c r="F22" s="184">
        <f t="shared" si="13"/>
        <v>23</v>
      </c>
      <c r="G22" s="184">
        <f t="shared" si="13"/>
        <v>212.150579150579</v>
      </c>
      <c r="H22" s="184">
        <f t="shared" si="13"/>
        <v>12613</v>
      </c>
      <c r="I22" s="193">
        <f t="shared" si="13"/>
        <v>276.932048962336</v>
      </c>
      <c r="J22" s="193">
        <f t="shared" si="13"/>
        <v>0</v>
      </c>
      <c r="K22" s="193">
        <f t="shared" si="13"/>
        <v>0</v>
      </c>
      <c r="L22" s="193">
        <f t="shared" si="13"/>
        <v>721.685146375642</v>
      </c>
      <c r="M22" s="193">
        <f>SUM(M23)</f>
        <v>722</v>
      </c>
      <c r="N22" s="196"/>
    </row>
    <row r="23" s="102" customFormat="true" ht="23" customHeight="true" spans="1:14">
      <c r="A23" s="113">
        <v>1</v>
      </c>
      <c r="B23" s="177" t="s">
        <v>118</v>
      </c>
      <c r="C23" s="176">
        <v>18177.9792746114</v>
      </c>
      <c r="D23" s="124">
        <f>IF((C23/$C$6)&gt;1,ABS(1-C23/$C$6-1),1-C23/$C$6)</f>
        <v>0.876275707142965</v>
      </c>
      <c r="E23" s="133">
        <f>$C$3*D23/$D$6</f>
        <v>232.602518262727</v>
      </c>
      <c r="F23" s="134">
        <v>23</v>
      </c>
      <c r="G23" s="135">
        <f>$F$3/$F$6*F23</f>
        <v>212.150579150579</v>
      </c>
      <c r="H23" s="136">
        <v>12613</v>
      </c>
      <c r="I23" s="145">
        <f>$H$3/$H$6*H23</f>
        <v>276.932048962336</v>
      </c>
      <c r="J23" s="145">
        <v>0</v>
      </c>
      <c r="K23" s="145">
        <v>0</v>
      </c>
      <c r="L23" s="151">
        <f>SUM(K23,I23,G23,E23)</f>
        <v>721.685146375642</v>
      </c>
      <c r="M23" s="151">
        <v>722</v>
      </c>
      <c r="N23" s="198"/>
    </row>
    <row r="24" s="102" customFormat="true" spans="3:14">
      <c r="C24" s="155"/>
      <c r="D24" s="103"/>
      <c r="E24" s="103"/>
      <c r="F24" s="103"/>
      <c r="G24" s="103"/>
      <c r="H24" s="103"/>
      <c r="I24" s="103"/>
      <c r="J24" s="156"/>
      <c r="K24" s="156"/>
      <c r="L24" s="105"/>
      <c r="M24" s="103"/>
      <c r="N24" s="196"/>
    </row>
  </sheetData>
  <mergeCells count="11">
    <mergeCell ref="A1:M1"/>
    <mergeCell ref="A2:M2"/>
    <mergeCell ref="L3:M3"/>
    <mergeCell ref="C4:E4"/>
    <mergeCell ref="F4:G4"/>
    <mergeCell ref="H4:I4"/>
    <mergeCell ref="J4:K4"/>
    <mergeCell ref="A4:A5"/>
    <mergeCell ref="B4:B5"/>
    <mergeCell ref="L4:L5"/>
    <mergeCell ref="M4:M5"/>
  </mergeCells>
  <pageMargins left="0.472222222222222" right="0.393055555555556" top="0.314583333333333" bottom="0.236111111111111" header="0.393055555555556" footer="0.27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view="pageBreakPreview" zoomScaleNormal="100" zoomScaleSheetLayoutView="100" workbookViewId="0">
      <selection activeCell="D11" sqref="D11"/>
    </sheetView>
  </sheetViews>
  <sheetFormatPr defaultColWidth="9" defaultRowHeight="15"/>
  <cols>
    <col min="1" max="1" width="9" style="101"/>
    <col min="2" max="2" width="18.125" style="102" customWidth="true"/>
    <col min="3" max="3" width="8.625" style="103" customWidth="true"/>
    <col min="4" max="4" width="9.75" style="103" customWidth="true"/>
    <col min="5" max="5" width="8.625" style="104" customWidth="true"/>
    <col min="6" max="6" width="10.125" style="103" customWidth="true"/>
    <col min="7" max="7" width="10.125" style="105" customWidth="true"/>
    <col min="8" max="8" width="9.875" style="103" customWidth="true"/>
    <col min="9" max="9" width="10.125" style="106" customWidth="true"/>
    <col min="10" max="11" width="8.625" style="107" customWidth="true"/>
    <col min="12" max="12" width="12.75" style="108" customWidth="true"/>
    <col min="13" max="13" width="12" style="104" customWidth="true"/>
    <col min="14" max="16384" width="9" style="101"/>
  </cols>
  <sheetData>
    <row r="1" s="101" customFormat="true" ht="20.25" spans="1:13">
      <c r="A1" s="109" t="s">
        <v>138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="101" customFormat="true" ht="39" customHeight="true" spans="1:13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="101" customFormat="true" customHeight="true" spans="2:13">
      <c r="B3" s="111">
        <v>46000</v>
      </c>
      <c r="C3" s="112">
        <f>B3*0.25</f>
        <v>11500</v>
      </c>
      <c r="D3" s="112"/>
      <c r="E3" s="112"/>
      <c r="F3" s="112">
        <f>B3*0.25</f>
        <v>11500</v>
      </c>
      <c r="G3" s="126"/>
      <c r="H3" s="112">
        <f>B3*0.4</f>
        <v>18400</v>
      </c>
      <c r="I3" s="112"/>
      <c r="J3" s="112">
        <f>B3*0.1</f>
        <v>4600</v>
      </c>
      <c r="K3" s="112"/>
      <c r="L3" s="137" t="s">
        <v>140</v>
      </c>
      <c r="M3" s="147" t="s">
        <v>141</v>
      </c>
    </row>
    <row r="4" s="102" customFormat="true" ht="45" customHeight="true" spans="1:13">
      <c r="A4" s="113" t="s">
        <v>142</v>
      </c>
      <c r="B4" s="114" t="s">
        <v>143</v>
      </c>
      <c r="C4" s="114" t="s">
        <v>144</v>
      </c>
      <c r="D4" s="114"/>
      <c r="E4" s="114"/>
      <c r="F4" s="114" t="s">
        <v>145</v>
      </c>
      <c r="G4" s="114"/>
      <c r="H4" s="114" t="s">
        <v>127</v>
      </c>
      <c r="I4" s="114"/>
      <c r="J4" s="138" t="s">
        <v>128</v>
      </c>
      <c r="K4" s="139"/>
      <c r="L4" s="140" t="s">
        <v>129</v>
      </c>
      <c r="M4" s="148" t="s">
        <v>130</v>
      </c>
    </row>
    <row r="5" s="102" customFormat="true" ht="25" customHeight="true" spans="1:13">
      <c r="A5" s="113"/>
      <c r="B5" s="114"/>
      <c r="C5" s="114" t="s">
        <v>146</v>
      </c>
      <c r="D5" s="114" t="s">
        <v>132</v>
      </c>
      <c r="E5" s="127" t="s">
        <v>147</v>
      </c>
      <c r="F5" s="114" t="s">
        <v>148</v>
      </c>
      <c r="G5" s="128" t="s">
        <v>147</v>
      </c>
      <c r="H5" s="114" t="s">
        <v>149</v>
      </c>
      <c r="I5" s="141" t="s">
        <v>147</v>
      </c>
      <c r="J5" s="142" t="s">
        <v>148</v>
      </c>
      <c r="K5" s="122" t="s">
        <v>147</v>
      </c>
      <c r="L5" s="140"/>
      <c r="M5" s="148"/>
    </row>
    <row r="6" s="101" customFormat="true" ht="28" customHeight="true" spans="1:13">
      <c r="A6" s="115">
        <v>22</v>
      </c>
      <c r="B6" s="116" t="s">
        <v>150</v>
      </c>
      <c r="C6" s="117">
        <f>C7+C15+C27+C30</f>
        <v>193634.244051655</v>
      </c>
      <c r="D6" s="117">
        <f>SUM(D7:D32)</f>
        <v>21</v>
      </c>
      <c r="E6" s="117">
        <f>E7+E15+E27+E30</f>
        <v>11500</v>
      </c>
      <c r="F6" s="129">
        <f t="shared" ref="F6:I6" si="0">SUM(F7,F15,F27,F30)</f>
        <v>2962</v>
      </c>
      <c r="G6" s="130">
        <f t="shared" si="0"/>
        <v>11500</v>
      </c>
      <c r="H6" s="129">
        <f t="shared" si="0"/>
        <v>2419556</v>
      </c>
      <c r="I6" s="131">
        <f t="shared" si="0"/>
        <v>18400</v>
      </c>
      <c r="J6" s="117">
        <f t="shared" ref="J6:M6" si="1">J7+J15+J27+J30</f>
        <v>7</v>
      </c>
      <c r="K6" s="117">
        <f t="shared" si="1"/>
        <v>4600</v>
      </c>
      <c r="L6" s="143">
        <f t="shared" si="1"/>
        <v>46000</v>
      </c>
      <c r="M6" s="149">
        <f t="shared" si="1"/>
        <v>46000</v>
      </c>
    </row>
    <row r="7" s="101" customFormat="true" ht="28" customHeight="true" spans="1:14">
      <c r="A7" s="118" t="s">
        <v>151</v>
      </c>
      <c r="B7" s="119" t="s">
        <v>152</v>
      </c>
      <c r="C7" s="120">
        <f t="shared" ref="C7:M7" si="2">SUM(C8:C14)</f>
        <v>53898.6725273048</v>
      </c>
      <c r="D7" s="121"/>
      <c r="E7" s="120">
        <f t="shared" si="2"/>
        <v>3680.90192915743</v>
      </c>
      <c r="F7" s="131">
        <f t="shared" si="2"/>
        <v>1193</v>
      </c>
      <c r="G7" s="132">
        <f t="shared" si="2"/>
        <v>4631.83659689399</v>
      </c>
      <c r="H7" s="131">
        <f t="shared" si="2"/>
        <v>971536</v>
      </c>
      <c r="I7" s="120">
        <f t="shared" si="2"/>
        <v>7388.24081773681</v>
      </c>
      <c r="J7" s="120">
        <f t="shared" si="2"/>
        <v>2</v>
      </c>
      <c r="K7" s="120">
        <f t="shared" si="2"/>
        <v>1314.28571428571</v>
      </c>
      <c r="L7" s="144">
        <f t="shared" si="2"/>
        <v>17015.2650580739</v>
      </c>
      <c r="M7" s="132">
        <f t="shared" si="2"/>
        <v>17015</v>
      </c>
      <c r="N7" s="150"/>
    </row>
    <row r="8" s="101" customFormat="true" ht="28" customHeight="true" spans="1:14">
      <c r="A8" s="115">
        <v>1</v>
      </c>
      <c r="B8" s="122" t="s">
        <v>153</v>
      </c>
      <c r="C8" s="123">
        <v>7824.65947786606</v>
      </c>
      <c r="D8" s="124">
        <f t="shared" ref="D8:D14" si="3">IF((C8/$C$6)&gt;1,ABS(1-C8/$C$6-1),1-C8/$C$6)</f>
        <v>0.959590518112185</v>
      </c>
      <c r="E8" s="133">
        <f>$C$3*D8/$D$6</f>
        <v>525.490045632864</v>
      </c>
      <c r="F8" s="134">
        <v>160</v>
      </c>
      <c r="G8" s="135">
        <f>$F$3/$F$6*F8</f>
        <v>621.20189061445</v>
      </c>
      <c r="H8" s="136">
        <v>146380</v>
      </c>
      <c r="I8" s="145">
        <f>$H$3/$H$6*H8</f>
        <v>1113.17613644817</v>
      </c>
      <c r="J8" s="145">
        <v>1</v>
      </c>
      <c r="K8" s="145">
        <f>J3/7</f>
        <v>657.142857142857</v>
      </c>
      <c r="L8" s="140">
        <f t="shared" ref="L8:L14" si="4">SUM(K8,,I8,G8,E8)</f>
        <v>2917.01092983835</v>
      </c>
      <c r="M8" s="151">
        <f t="shared" ref="M8:M13" si="5">INT((L8*10+5)/10)</f>
        <v>2917</v>
      </c>
      <c r="N8" s="152"/>
    </row>
    <row r="9" s="101" customFormat="true" ht="28" customHeight="true" spans="1:14">
      <c r="A9" s="115">
        <v>2</v>
      </c>
      <c r="B9" s="122" t="s">
        <v>154</v>
      </c>
      <c r="C9" s="123">
        <v>6590.49553208773</v>
      </c>
      <c r="D9" s="124">
        <f t="shared" si="3"/>
        <v>0.965964204501299</v>
      </c>
      <c r="E9" s="133">
        <f>$C$3*D9/$D$6</f>
        <v>528.980397703092</v>
      </c>
      <c r="F9" s="134">
        <v>320</v>
      </c>
      <c r="G9" s="135">
        <f>$F$3/$F$6*F9</f>
        <v>1242.4037812289</v>
      </c>
      <c r="H9" s="136">
        <v>277679</v>
      </c>
      <c r="I9" s="145">
        <f>$H$3/$H$6*H9</f>
        <v>2111.66577669622</v>
      </c>
      <c r="J9" s="145">
        <v>0</v>
      </c>
      <c r="K9" s="145">
        <v>0</v>
      </c>
      <c r="L9" s="140">
        <f t="shared" si="4"/>
        <v>3883.04995562821</v>
      </c>
      <c r="M9" s="151">
        <f t="shared" si="5"/>
        <v>3883</v>
      </c>
      <c r="N9" s="152"/>
    </row>
    <row r="10" s="101" customFormat="true" ht="28" customHeight="true" spans="1:14">
      <c r="A10" s="115">
        <v>3</v>
      </c>
      <c r="B10" s="122" t="s">
        <v>155</v>
      </c>
      <c r="C10" s="123">
        <v>7752.50162443145</v>
      </c>
      <c r="D10" s="124">
        <f t="shared" si="3"/>
        <v>0.959963168382741</v>
      </c>
      <c r="E10" s="133">
        <f>$C$3*D10/$D$6</f>
        <v>525.69411601912</v>
      </c>
      <c r="F10" s="134">
        <v>158</v>
      </c>
      <c r="G10" s="135">
        <f>$F$3/$F$6*F10</f>
        <v>613.436866981769</v>
      </c>
      <c r="H10" s="136">
        <v>118935</v>
      </c>
      <c r="I10" s="145">
        <f>$H$3/$H$6*H10</f>
        <v>904.465116740427</v>
      </c>
      <c r="J10" s="145">
        <v>1</v>
      </c>
      <c r="K10" s="145">
        <f>J3/7</f>
        <v>657.142857142857</v>
      </c>
      <c r="L10" s="140">
        <f t="shared" si="4"/>
        <v>2700.73895688417</v>
      </c>
      <c r="M10" s="151">
        <f t="shared" si="5"/>
        <v>2701</v>
      </c>
      <c r="N10" s="152"/>
    </row>
    <row r="11" s="101" customFormat="true" ht="28" customHeight="true" spans="1:14">
      <c r="A11" s="115">
        <v>4</v>
      </c>
      <c r="B11" s="122" t="s">
        <v>156</v>
      </c>
      <c r="C11" s="123">
        <v>8394.85694822888</v>
      </c>
      <c r="D11" s="124">
        <f t="shared" si="3"/>
        <v>0.956645804106894</v>
      </c>
      <c r="E11" s="133">
        <f>$C$3*D11/$D$6</f>
        <v>523.877464153776</v>
      </c>
      <c r="F11" s="134">
        <v>188</v>
      </c>
      <c r="G11" s="135">
        <f>$F$3/$F$6*F11</f>
        <v>729.912221471978</v>
      </c>
      <c r="H11" s="136">
        <v>123016</v>
      </c>
      <c r="I11" s="145">
        <f>$H$3/$H$6*H11</f>
        <v>935.499901634845</v>
      </c>
      <c r="J11" s="145">
        <v>0</v>
      </c>
      <c r="K11" s="145">
        <v>0</v>
      </c>
      <c r="L11" s="140">
        <f t="shared" si="4"/>
        <v>2189.2895872606</v>
      </c>
      <c r="M11" s="151">
        <f t="shared" si="5"/>
        <v>2189</v>
      </c>
      <c r="N11" s="152"/>
    </row>
    <row r="12" s="101" customFormat="true" ht="28" customHeight="true" spans="1:14">
      <c r="A12" s="115">
        <v>5</v>
      </c>
      <c r="B12" s="122" t="s">
        <v>157</v>
      </c>
      <c r="C12" s="123">
        <v>9532.38095238095</v>
      </c>
      <c r="D12" s="124">
        <f t="shared" si="3"/>
        <v>0.950771202691617</v>
      </c>
      <c r="E12" s="133">
        <f>$C$3*D12/$D$6</f>
        <v>520.6604205216</v>
      </c>
      <c r="F12" s="134">
        <v>115</v>
      </c>
      <c r="G12" s="135">
        <f>$F$3/$F$6*F12</f>
        <v>446.488858879136</v>
      </c>
      <c r="H12" s="136">
        <v>79618</v>
      </c>
      <c r="I12" s="145">
        <f>$H$3/$H$6*H12</f>
        <v>605.471086430734</v>
      </c>
      <c r="J12" s="145">
        <v>0</v>
      </c>
      <c r="K12" s="145">
        <v>0</v>
      </c>
      <c r="L12" s="140">
        <f t="shared" si="4"/>
        <v>1572.62036583147</v>
      </c>
      <c r="M12" s="151">
        <f t="shared" si="5"/>
        <v>1573</v>
      </c>
      <c r="N12" s="152"/>
    </row>
    <row r="13" s="101" customFormat="true" ht="28" customHeight="true" spans="1:14">
      <c r="A13" s="115">
        <v>6</v>
      </c>
      <c r="B13" s="122" t="s">
        <v>158</v>
      </c>
      <c r="C13" s="123">
        <v>7957.17804363124</v>
      </c>
      <c r="D13" s="124">
        <f t="shared" si="3"/>
        <v>0.958906142440856</v>
      </c>
      <c r="E13" s="133">
        <f>$C$3*D13/$D$6</f>
        <v>525.115268479517</v>
      </c>
      <c r="F13" s="134">
        <v>161</v>
      </c>
      <c r="G13" s="135">
        <f>$F$3/$F$6*F13</f>
        <v>625.08440243079</v>
      </c>
      <c r="H13" s="136">
        <v>123717</v>
      </c>
      <c r="I13" s="145">
        <f>$H$3/$H$6*H13</f>
        <v>940.830797055327</v>
      </c>
      <c r="J13" s="145">
        <v>0</v>
      </c>
      <c r="K13" s="145">
        <v>0</v>
      </c>
      <c r="L13" s="140">
        <f t="shared" si="4"/>
        <v>2091.03046796563</v>
      </c>
      <c r="M13" s="151">
        <f t="shared" si="5"/>
        <v>2091</v>
      </c>
      <c r="N13" s="152"/>
    </row>
    <row r="14" s="101" customFormat="true" ht="28" customHeight="true" spans="1:14">
      <c r="A14" s="115">
        <v>7</v>
      </c>
      <c r="B14" s="122" t="s">
        <v>159</v>
      </c>
      <c r="C14" s="123">
        <v>5846.59994867847</v>
      </c>
      <c r="D14" s="124">
        <f t="shared" si="3"/>
        <v>0.969805960834496</v>
      </c>
      <c r="E14" s="133">
        <f>$C$3*D14/$D$6</f>
        <v>531.084216647462</v>
      </c>
      <c r="F14" s="134">
        <v>91</v>
      </c>
      <c r="G14" s="135">
        <f>$F$3/$F$6*F14</f>
        <v>353.308575286968</v>
      </c>
      <c r="H14" s="136">
        <v>102191</v>
      </c>
      <c r="I14" s="145">
        <f>$H$3/$H$6*H14</f>
        <v>777.13200273108</v>
      </c>
      <c r="J14" s="145">
        <v>0</v>
      </c>
      <c r="K14" s="145">
        <v>0</v>
      </c>
      <c r="L14" s="140">
        <f t="shared" si="4"/>
        <v>1661.52479466551</v>
      </c>
      <c r="M14" s="130">
        <v>1661</v>
      </c>
      <c r="N14" s="152"/>
    </row>
    <row r="15" s="101" customFormat="true" ht="28" customHeight="true" spans="1:14">
      <c r="A15" s="118" t="s">
        <v>160</v>
      </c>
      <c r="B15" s="119" t="s">
        <v>161</v>
      </c>
      <c r="C15" s="120">
        <f t="shared" ref="C15:M15" si="6">SUM(C16:C26)</f>
        <v>96667.3217798735</v>
      </c>
      <c r="D15" s="121"/>
      <c r="E15" s="120">
        <f t="shared" si="6"/>
        <v>5750.42365165534</v>
      </c>
      <c r="F15" s="131">
        <f t="shared" si="6"/>
        <v>1501</v>
      </c>
      <c r="G15" s="130">
        <f t="shared" si="6"/>
        <v>5827.65023632681</v>
      </c>
      <c r="H15" s="131">
        <f t="shared" si="6"/>
        <v>1154141</v>
      </c>
      <c r="I15" s="120">
        <f t="shared" si="6"/>
        <v>8776.89724891674</v>
      </c>
      <c r="J15" s="120">
        <f t="shared" si="6"/>
        <v>2</v>
      </c>
      <c r="K15" s="120">
        <f t="shared" si="6"/>
        <v>1314.28571428571</v>
      </c>
      <c r="L15" s="144">
        <f t="shared" si="6"/>
        <v>21669.2568511846</v>
      </c>
      <c r="M15" s="132">
        <f t="shared" si="6"/>
        <v>21670</v>
      </c>
      <c r="N15" s="152"/>
    </row>
    <row r="16" s="101" customFormat="true" ht="28" customHeight="true" spans="1:14">
      <c r="A16" s="115">
        <v>1</v>
      </c>
      <c r="B16" s="122" t="s">
        <v>162</v>
      </c>
      <c r="C16" s="123">
        <v>7805.25008868393</v>
      </c>
      <c r="D16" s="124">
        <f t="shared" ref="D16:D26" si="7">IF((C16/$C$6)&gt;1,ABS(1-C16/$C$6-1),1-C16/$C$6)</f>
        <v>0.959690755491566</v>
      </c>
      <c r="E16" s="133">
        <f>$C$3*D16/$D$6</f>
        <v>525.544937531096</v>
      </c>
      <c r="F16" s="134">
        <v>98</v>
      </c>
      <c r="G16" s="135">
        <f>$F$3/$F$6*F16</f>
        <v>380.48615800135</v>
      </c>
      <c r="H16" s="136">
        <v>98971</v>
      </c>
      <c r="I16" s="145">
        <f>$H$3/$H$6*H16</f>
        <v>752.64486542159</v>
      </c>
      <c r="J16" s="145">
        <v>0</v>
      </c>
      <c r="K16" s="145">
        <v>0</v>
      </c>
      <c r="L16" s="140">
        <f t="shared" ref="L16:L26" si="8">SUM(K16,,I16,G16,E16)</f>
        <v>1658.67596095404</v>
      </c>
      <c r="M16" s="151">
        <f t="shared" ref="M16:M26" si="9">INT((L16*10+5)/10)</f>
        <v>1659</v>
      </c>
      <c r="N16" s="152"/>
    </row>
    <row r="17" s="101" customFormat="true" ht="28" customHeight="true" spans="1:14">
      <c r="A17" s="115">
        <v>2</v>
      </c>
      <c r="B17" s="122" t="s">
        <v>163</v>
      </c>
      <c r="C17" s="123">
        <v>6939.41529626729</v>
      </c>
      <c r="D17" s="124">
        <f t="shared" si="7"/>
        <v>0.964162251722293</v>
      </c>
      <c r="E17" s="133">
        <f>$C$3*D17/$D$6</f>
        <v>527.993614038399</v>
      </c>
      <c r="F17" s="134">
        <v>154</v>
      </c>
      <c r="G17" s="135">
        <f>$F$3/$F$6*F17</f>
        <v>597.906819716408</v>
      </c>
      <c r="H17" s="136">
        <v>124506</v>
      </c>
      <c r="I17" s="145">
        <f>$H$3/$H$6*H17</f>
        <v>946.830906166255</v>
      </c>
      <c r="J17" s="145">
        <v>0</v>
      </c>
      <c r="K17" s="145">
        <v>0</v>
      </c>
      <c r="L17" s="140">
        <f t="shared" si="8"/>
        <v>2072.73133992106</v>
      </c>
      <c r="M17" s="151">
        <f t="shared" si="9"/>
        <v>2073</v>
      </c>
      <c r="N17" s="152"/>
    </row>
    <row r="18" s="101" customFormat="true" ht="28" customHeight="true" spans="1:14">
      <c r="A18" s="115">
        <v>3</v>
      </c>
      <c r="B18" s="125" t="s">
        <v>164</v>
      </c>
      <c r="C18" s="123">
        <v>7194.49602122016</v>
      </c>
      <c r="D18" s="124">
        <f t="shared" si="7"/>
        <v>0.962844919004611</v>
      </c>
      <c r="E18" s="133">
        <f>$C$3*D18/$D$6</f>
        <v>527.272217550144</v>
      </c>
      <c r="F18" s="134">
        <v>141</v>
      </c>
      <c r="G18" s="135">
        <f>$F$3/$F$6*F18</f>
        <v>547.434166103984</v>
      </c>
      <c r="H18" s="136">
        <v>127197</v>
      </c>
      <c r="I18" s="145">
        <f>$H$3/$H$6*H18</f>
        <v>967.295156632043</v>
      </c>
      <c r="J18" s="145">
        <v>0</v>
      </c>
      <c r="K18" s="145">
        <v>0</v>
      </c>
      <c r="L18" s="140">
        <f t="shared" si="8"/>
        <v>2042.00154028617</v>
      </c>
      <c r="M18" s="151">
        <f t="shared" si="9"/>
        <v>2042</v>
      </c>
      <c r="N18" s="152"/>
    </row>
    <row r="19" s="101" customFormat="true" ht="28" customHeight="true" spans="1:14">
      <c r="A19" s="115">
        <v>4</v>
      </c>
      <c r="B19" s="122" t="s">
        <v>165</v>
      </c>
      <c r="C19" s="123">
        <v>6428.54640980736</v>
      </c>
      <c r="D19" s="124">
        <f t="shared" si="7"/>
        <v>0.966800570625863</v>
      </c>
      <c r="E19" s="133">
        <f>$C$3*D19/$D$6</f>
        <v>529.438407723687</v>
      </c>
      <c r="F19" s="134">
        <v>341</v>
      </c>
      <c r="G19" s="135">
        <f>$F$3/$F$6*F19</f>
        <v>1323.93652937205</v>
      </c>
      <c r="H19" s="136">
        <v>237444</v>
      </c>
      <c r="I19" s="145">
        <f>$H$3/$H$6*H19</f>
        <v>1805.69063084301</v>
      </c>
      <c r="J19" s="145">
        <v>0</v>
      </c>
      <c r="K19" s="145">
        <v>0</v>
      </c>
      <c r="L19" s="140">
        <f t="shared" si="8"/>
        <v>3659.06556793875</v>
      </c>
      <c r="M19" s="151">
        <f t="shared" si="9"/>
        <v>3659</v>
      </c>
      <c r="N19" s="152"/>
    </row>
    <row r="20" s="101" customFormat="true" ht="28" customHeight="true" spans="1:14">
      <c r="A20" s="115">
        <v>5</v>
      </c>
      <c r="B20" s="122" t="s">
        <v>166</v>
      </c>
      <c r="C20" s="123">
        <v>7870.06044578768</v>
      </c>
      <c r="D20" s="124">
        <f t="shared" si="7"/>
        <v>0.9593560504531</v>
      </c>
      <c r="E20" s="133">
        <f>$C$3*D20/$D$6</f>
        <v>525.361646676698</v>
      </c>
      <c r="F20" s="134">
        <v>185</v>
      </c>
      <c r="G20" s="135">
        <f>$F$3/$F$6*F20</f>
        <v>718.264686022957</v>
      </c>
      <c r="H20" s="136">
        <v>158868</v>
      </c>
      <c r="I20" s="145">
        <f>$H$3/$H$6*H20</f>
        <v>1208.14364288324</v>
      </c>
      <c r="J20" s="145">
        <v>1</v>
      </c>
      <c r="K20" s="145">
        <f>J3/7</f>
        <v>657.142857142857</v>
      </c>
      <c r="L20" s="140">
        <f t="shared" si="8"/>
        <v>3108.91283272575</v>
      </c>
      <c r="M20" s="151">
        <f t="shared" si="9"/>
        <v>3109</v>
      </c>
      <c r="N20" s="152"/>
    </row>
    <row r="21" s="101" customFormat="true" ht="28" customHeight="true" spans="1:14">
      <c r="A21" s="115">
        <v>6</v>
      </c>
      <c r="B21" s="122" t="s">
        <v>167</v>
      </c>
      <c r="C21" s="123">
        <v>8378.44243792325</v>
      </c>
      <c r="D21" s="124">
        <f t="shared" si="7"/>
        <v>0.956730574806344</v>
      </c>
      <c r="E21" s="133">
        <f>$C$3*D21/$D$6</f>
        <v>523.923886203474</v>
      </c>
      <c r="F21" s="134">
        <v>68</v>
      </c>
      <c r="G21" s="135">
        <f>$F$3/$F$6*F21</f>
        <v>264.010803511141</v>
      </c>
      <c r="H21" s="136">
        <v>55046</v>
      </c>
      <c r="I21" s="145">
        <f>$H$3/$H$6*H21</f>
        <v>418.608372775832</v>
      </c>
      <c r="J21" s="145">
        <v>0</v>
      </c>
      <c r="K21" s="145">
        <v>0</v>
      </c>
      <c r="L21" s="140">
        <f t="shared" si="8"/>
        <v>1206.54306249045</v>
      </c>
      <c r="M21" s="151">
        <f t="shared" si="9"/>
        <v>1207</v>
      </c>
      <c r="N21" s="152"/>
    </row>
    <row r="22" s="101" customFormat="true" ht="28" customHeight="true" spans="1:14">
      <c r="A22" s="115">
        <v>7</v>
      </c>
      <c r="B22" s="122" t="s">
        <v>168</v>
      </c>
      <c r="C22" s="123">
        <v>6368.57899382171</v>
      </c>
      <c r="D22" s="124">
        <f t="shared" si="7"/>
        <v>0.967110264896519</v>
      </c>
      <c r="E22" s="133">
        <f>$C$3*D22/$D$6</f>
        <v>529.608002205237</v>
      </c>
      <c r="F22" s="134">
        <v>219</v>
      </c>
      <c r="G22" s="135">
        <f>$F$3/$F$6*F22</f>
        <v>850.270087778528</v>
      </c>
      <c r="H22" s="136">
        <v>129426</v>
      </c>
      <c r="I22" s="145">
        <f>$H$3/$H$6*H22</f>
        <v>984.246035222991</v>
      </c>
      <c r="J22" s="145">
        <v>0</v>
      </c>
      <c r="K22" s="145">
        <v>0</v>
      </c>
      <c r="L22" s="140">
        <f t="shared" si="8"/>
        <v>2364.12412520676</v>
      </c>
      <c r="M22" s="151">
        <f t="shared" si="9"/>
        <v>2364</v>
      </c>
      <c r="N22" s="152"/>
    </row>
    <row r="23" s="101" customFormat="true" ht="28" customHeight="true" spans="1:14">
      <c r="A23" s="115">
        <v>8</v>
      </c>
      <c r="B23" s="125" t="s">
        <v>169</v>
      </c>
      <c r="C23" s="123">
        <v>26583.9108910891</v>
      </c>
      <c r="D23" s="124">
        <f t="shared" si="7"/>
        <v>0.862710694478207</v>
      </c>
      <c r="E23" s="133">
        <f>$C$3*D23/$D$6</f>
        <v>472.436808880923</v>
      </c>
      <c r="F23" s="134">
        <v>44</v>
      </c>
      <c r="G23" s="135">
        <f>$F$3/$F$6*F23</f>
        <v>170.830519918974</v>
      </c>
      <c r="H23" s="136">
        <v>16520</v>
      </c>
      <c r="I23" s="145">
        <f>$H$3/$H$6*H23</f>
        <v>125.629660979122</v>
      </c>
      <c r="J23" s="145">
        <v>1</v>
      </c>
      <c r="K23" s="145">
        <f>J3/7</f>
        <v>657.142857142857</v>
      </c>
      <c r="L23" s="140">
        <f t="shared" si="8"/>
        <v>1426.03984692188</v>
      </c>
      <c r="M23" s="151">
        <f t="shared" si="9"/>
        <v>1426</v>
      </c>
      <c r="N23" s="152"/>
    </row>
    <row r="24" s="101" customFormat="true" ht="28" customHeight="true" spans="1:14">
      <c r="A24" s="115">
        <v>9</v>
      </c>
      <c r="B24" s="125" t="s">
        <v>170</v>
      </c>
      <c r="C24" s="123">
        <v>6653.99776868724</v>
      </c>
      <c r="D24" s="124">
        <f t="shared" si="7"/>
        <v>0.965636255088681</v>
      </c>
      <c r="E24" s="133">
        <f>$C$3*D24/$D$6</f>
        <v>528.800806358087</v>
      </c>
      <c r="F24" s="134">
        <v>52</v>
      </c>
      <c r="G24" s="135">
        <f>$F$3/$F$6*F24</f>
        <v>201.890614449696</v>
      </c>
      <c r="H24" s="136">
        <v>49266</v>
      </c>
      <c r="I24" s="145">
        <f>$H$3/$H$6*H24</f>
        <v>374.653200835195</v>
      </c>
      <c r="J24" s="145">
        <v>0</v>
      </c>
      <c r="K24" s="145">
        <v>0</v>
      </c>
      <c r="L24" s="140">
        <f t="shared" si="8"/>
        <v>1105.34462164298</v>
      </c>
      <c r="M24" s="151">
        <f t="shared" si="9"/>
        <v>1105</v>
      </c>
      <c r="N24" s="152"/>
    </row>
    <row r="25" s="101" customFormat="true" ht="28" customHeight="true" spans="1:14">
      <c r="A25" s="115">
        <v>10</v>
      </c>
      <c r="B25" s="125" t="s">
        <v>171</v>
      </c>
      <c r="C25" s="123">
        <v>6656.10614676415</v>
      </c>
      <c r="D25" s="124">
        <f t="shared" si="7"/>
        <v>0.965625366632007</v>
      </c>
      <c r="E25" s="133">
        <f>$C$3*D25/$D$6</f>
        <v>528.794843631813</v>
      </c>
      <c r="F25" s="134">
        <v>117</v>
      </c>
      <c r="G25" s="135">
        <f>$F$3/$F$6*F25</f>
        <v>454.253882511816</v>
      </c>
      <c r="H25" s="136">
        <v>82184</v>
      </c>
      <c r="I25" s="145">
        <f>$H$3/$H$6*H25</f>
        <v>624.984749268047</v>
      </c>
      <c r="J25" s="145">
        <v>0</v>
      </c>
      <c r="K25" s="145">
        <v>0</v>
      </c>
      <c r="L25" s="140">
        <f t="shared" si="8"/>
        <v>1608.03347541168</v>
      </c>
      <c r="M25" s="151">
        <f t="shared" si="9"/>
        <v>1608</v>
      </c>
      <c r="N25" s="152"/>
    </row>
    <row r="26" s="101" customFormat="true" ht="28" customHeight="true" spans="1:14">
      <c r="A26" s="115">
        <v>11</v>
      </c>
      <c r="B26" s="125" t="s">
        <v>172</v>
      </c>
      <c r="C26" s="123">
        <v>5788.51727982163</v>
      </c>
      <c r="D26" s="124">
        <f t="shared" si="7"/>
        <v>0.97010592156273</v>
      </c>
      <c r="E26" s="133">
        <f>$C$3*D26/$D$6</f>
        <v>531.248480855781</v>
      </c>
      <c r="F26" s="134">
        <v>82</v>
      </c>
      <c r="G26" s="135">
        <f>$F$3/$F$6*F26</f>
        <v>318.365968939905</v>
      </c>
      <c r="H26" s="136">
        <v>74713</v>
      </c>
      <c r="I26" s="145">
        <f>$H$3/$H$6*H26</f>
        <v>568.170027889414</v>
      </c>
      <c r="J26" s="145">
        <v>0</v>
      </c>
      <c r="K26" s="145">
        <v>0</v>
      </c>
      <c r="L26" s="140">
        <f t="shared" si="8"/>
        <v>1417.7844776851</v>
      </c>
      <c r="M26" s="151">
        <f t="shared" si="9"/>
        <v>1418</v>
      </c>
      <c r="N26" s="152"/>
    </row>
    <row r="27" s="101" customFormat="true" ht="28" customHeight="true" spans="1:14">
      <c r="A27" s="118" t="s">
        <v>173</v>
      </c>
      <c r="B27" s="119" t="s">
        <v>174</v>
      </c>
      <c r="C27" s="120">
        <f t="shared" ref="C27:M27" si="10">SUM(C28:C29)</f>
        <v>22232.3770510623</v>
      </c>
      <c r="D27" s="121"/>
      <c r="E27" s="120">
        <f t="shared" si="10"/>
        <v>1032.3624752431</v>
      </c>
      <c r="F27" s="131">
        <f t="shared" si="10"/>
        <v>169</v>
      </c>
      <c r="G27" s="130">
        <f t="shared" si="10"/>
        <v>656.144496961512</v>
      </c>
      <c r="H27" s="131">
        <f t="shared" si="10"/>
        <v>216029</v>
      </c>
      <c r="I27" s="120">
        <f t="shared" si="10"/>
        <v>1642.83595833285</v>
      </c>
      <c r="J27" s="120">
        <f t="shared" si="10"/>
        <v>2</v>
      </c>
      <c r="K27" s="120">
        <f t="shared" si="10"/>
        <v>1314.28571428571</v>
      </c>
      <c r="L27" s="144">
        <f t="shared" si="10"/>
        <v>4645.62864482318</v>
      </c>
      <c r="M27" s="132">
        <f t="shared" si="10"/>
        <v>4645</v>
      </c>
      <c r="N27" s="152"/>
    </row>
    <row r="28" s="101" customFormat="true" ht="28" customHeight="true" spans="1:14">
      <c r="A28" s="115">
        <v>1</v>
      </c>
      <c r="B28" s="122" t="s">
        <v>175</v>
      </c>
      <c r="C28" s="123">
        <v>9006.52731939861</v>
      </c>
      <c r="D28" s="124">
        <f t="shared" ref="D28:D32" si="11">IF((C28/$C$6)&gt;1,ABS(1-C28/$C$6-1),1-C28/$C$6)</f>
        <v>0.953486908457184</v>
      </c>
      <c r="E28" s="133">
        <f>$C$3*D28/$D$6</f>
        <v>522.147592726553</v>
      </c>
      <c r="F28" s="134">
        <v>69</v>
      </c>
      <c r="G28" s="135">
        <f>$F$3/$F$6*F28</f>
        <v>267.893315327481</v>
      </c>
      <c r="H28" s="136">
        <v>103108</v>
      </c>
      <c r="I28" s="145">
        <f>$H$3/$H$6*H28</f>
        <v>784.105513573565</v>
      </c>
      <c r="J28" s="145">
        <v>1</v>
      </c>
      <c r="K28" s="145">
        <f>J3/7</f>
        <v>657.142857142857</v>
      </c>
      <c r="L28" s="140">
        <f t="shared" ref="L28:L32" si="12">SUM(K28,,I28,G28,E28)</f>
        <v>2231.28927877046</v>
      </c>
      <c r="M28" s="151">
        <f t="shared" ref="M28:M32" si="13">INT((L28*10+5)/10)</f>
        <v>2231</v>
      </c>
      <c r="N28" s="152"/>
    </row>
    <row r="29" s="101" customFormat="true" ht="28" customHeight="true" spans="1:14">
      <c r="A29" s="115">
        <v>2</v>
      </c>
      <c r="B29" s="122" t="s">
        <v>176</v>
      </c>
      <c r="C29" s="123">
        <v>13225.8497316637</v>
      </c>
      <c r="D29" s="124">
        <f t="shared" si="11"/>
        <v>0.931696741986735</v>
      </c>
      <c r="E29" s="133">
        <f>$C$3*D29/$D$6</f>
        <v>510.214882516546</v>
      </c>
      <c r="F29" s="134">
        <v>100</v>
      </c>
      <c r="G29" s="135">
        <f>$F$3/$F$6*F29</f>
        <v>388.251181634031</v>
      </c>
      <c r="H29" s="136">
        <v>112921</v>
      </c>
      <c r="I29" s="145">
        <f>$H$3/$H$6*H29</f>
        <v>858.730444759286</v>
      </c>
      <c r="J29" s="145">
        <v>1</v>
      </c>
      <c r="K29" s="145">
        <f>J3/7</f>
        <v>657.142857142857</v>
      </c>
      <c r="L29" s="140">
        <f t="shared" si="12"/>
        <v>2414.33936605272</v>
      </c>
      <c r="M29" s="151">
        <f t="shared" si="13"/>
        <v>2414</v>
      </c>
      <c r="N29" s="152"/>
    </row>
    <row r="30" s="101" customFormat="true" ht="28" customHeight="true" spans="1:14">
      <c r="A30" s="118" t="s">
        <v>177</v>
      </c>
      <c r="B30" s="119" t="s">
        <v>178</v>
      </c>
      <c r="C30" s="120">
        <f t="shared" ref="C30:M30" si="14">SUM(C31:C32)</f>
        <v>20835.8726934146</v>
      </c>
      <c r="D30" s="121"/>
      <c r="E30" s="120">
        <f t="shared" si="14"/>
        <v>1036.31194394414</v>
      </c>
      <c r="F30" s="131">
        <f t="shared" si="14"/>
        <v>99</v>
      </c>
      <c r="G30" s="130">
        <f t="shared" si="14"/>
        <v>384.368669817691</v>
      </c>
      <c r="H30" s="131">
        <f t="shared" si="14"/>
        <v>77850</v>
      </c>
      <c r="I30" s="120">
        <f t="shared" si="14"/>
        <v>592.025975013598</v>
      </c>
      <c r="J30" s="120">
        <f t="shared" si="14"/>
        <v>1</v>
      </c>
      <c r="K30" s="120">
        <f t="shared" si="14"/>
        <v>657.142857142857</v>
      </c>
      <c r="L30" s="144">
        <f t="shared" si="14"/>
        <v>2669.84944591828</v>
      </c>
      <c r="M30" s="132">
        <f t="shared" si="14"/>
        <v>2670</v>
      </c>
      <c r="N30" s="152"/>
    </row>
    <row r="31" s="101" customFormat="true" ht="28" customHeight="true" spans="1:14">
      <c r="A31" s="115">
        <v>1</v>
      </c>
      <c r="B31" s="122" t="s">
        <v>179</v>
      </c>
      <c r="C31" s="123">
        <v>7184.35754189944</v>
      </c>
      <c r="D31" s="124">
        <f t="shared" si="11"/>
        <v>0.962897277921653</v>
      </c>
      <c r="E31" s="133">
        <f>$C$3*D31/$D$6</f>
        <v>527.300890290429</v>
      </c>
      <c r="F31" s="134">
        <v>74</v>
      </c>
      <c r="G31" s="135">
        <f>$F$3/$F$6*F31</f>
        <v>287.305874409183</v>
      </c>
      <c r="H31" s="136">
        <v>63156</v>
      </c>
      <c r="I31" s="145">
        <f>$H$3/$H$6*H31</f>
        <v>480.282498111224</v>
      </c>
      <c r="J31" s="145">
        <v>1</v>
      </c>
      <c r="K31" s="145">
        <f>J3/7</f>
        <v>657.142857142857</v>
      </c>
      <c r="L31" s="140">
        <f t="shared" si="12"/>
        <v>1952.03211995369</v>
      </c>
      <c r="M31" s="151">
        <f t="shared" si="13"/>
        <v>1952</v>
      </c>
      <c r="N31" s="152"/>
    </row>
    <row r="32" s="101" customFormat="true" ht="28" customHeight="true" spans="1:14">
      <c r="A32" s="115">
        <v>2</v>
      </c>
      <c r="B32" s="122" t="s">
        <v>180</v>
      </c>
      <c r="C32" s="123">
        <v>13651.5151515152</v>
      </c>
      <c r="D32" s="124">
        <f t="shared" si="11"/>
        <v>0.92949844580242</v>
      </c>
      <c r="E32" s="133">
        <f>$C$3*D32/$D$6</f>
        <v>509.011053653706</v>
      </c>
      <c r="F32" s="134">
        <v>25</v>
      </c>
      <c r="G32" s="135">
        <f>$F$3/$F$6*F32</f>
        <v>97.0627954085078</v>
      </c>
      <c r="H32" s="136">
        <v>14694</v>
      </c>
      <c r="I32" s="145">
        <f>$H$3/$H$6*H32</f>
        <v>111.743476902374</v>
      </c>
      <c r="J32" s="145">
        <v>0</v>
      </c>
      <c r="K32" s="145">
        <v>0</v>
      </c>
      <c r="L32" s="140">
        <f t="shared" si="12"/>
        <v>717.817325964588</v>
      </c>
      <c r="M32" s="151">
        <f t="shared" si="13"/>
        <v>718</v>
      </c>
      <c r="N32" s="152"/>
    </row>
    <row r="33" s="101" customFormat="true" spans="2:13">
      <c r="B33" s="102"/>
      <c r="C33" s="103"/>
      <c r="D33" s="103"/>
      <c r="E33" s="104"/>
      <c r="F33" s="103"/>
      <c r="G33" s="105"/>
      <c r="H33" s="103"/>
      <c r="I33" s="106"/>
      <c r="J33" s="146"/>
      <c r="K33" s="146"/>
      <c r="L33" s="108"/>
      <c r="M33" s="104"/>
    </row>
  </sheetData>
  <mergeCells count="10">
    <mergeCell ref="A1:M1"/>
    <mergeCell ref="A2:M2"/>
    <mergeCell ref="C4:E4"/>
    <mergeCell ref="F4:G4"/>
    <mergeCell ref="H4:I4"/>
    <mergeCell ref="J4:K4"/>
    <mergeCell ref="A4:A5"/>
    <mergeCell ref="B4:B5"/>
    <mergeCell ref="L4:L5"/>
    <mergeCell ref="M4:M5"/>
  </mergeCells>
  <pageMargins left="0.66875" right="0.393055555555556" top="0.708333333333333" bottom="0.511805555555556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/>
  <dimension ref="A1:W108"/>
  <sheetViews>
    <sheetView view="pageBreakPreview" zoomScaleNormal="115" zoomScaleSheetLayoutView="100" workbookViewId="0">
      <selection activeCell="B72" sqref="B72"/>
    </sheetView>
  </sheetViews>
  <sheetFormatPr defaultColWidth="9" defaultRowHeight="14.25"/>
  <cols>
    <col min="1" max="1" width="5.875" style="21" customWidth="true"/>
    <col min="2" max="2" width="12.5" style="18" customWidth="true"/>
    <col min="3" max="3" width="9.625" style="18" customWidth="true"/>
    <col min="4" max="4" width="10.375" style="22" customWidth="true"/>
    <col min="5" max="5" width="9.66666666666667" style="18" customWidth="true"/>
    <col min="6" max="6" width="9.5" style="23" customWidth="true"/>
    <col min="7" max="8" width="10.625" style="22" customWidth="true"/>
    <col min="9" max="9" width="9.75" style="22" customWidth="true"/>
    <col min="10" max="10" width="10.625" style="22" customWidth="true"/>
    <col min="11" max="11" width="7.625" style="24" customWidth="true"/>
    <col min="12" max="12" width="8.75" style="22" customWidth="true"/>
    <col min="13" max="13" width="7.625" style="24" customWidth="true"/>
    <col min="14" max="14" width="8.625" style="22" customWidth="true"/>
    <col min="15" max="15" width="9" style="22"/>
    <col min="16" max="16" width="8.625" style="25" customWidth="true"/>
    <col min="17" max="17" width="8.625" style="22" customWidth="true"/>
    <col min="18" max="18" width="8.625" style="25" customWidth="true"/>
    <col min="19" max="19" width="8.625" style="22" customWidth="true"/>
    <col min="20" max="20" width="10.375" style="22" customWidth="true"/>
    <col min="21" max="21" width="6.75" style="24" customWidth="true"/>
    <col min="22" max="22" width="5.625" style="24" customWidth="true"/>
    <col min="23" max="23" width="6.875" style="24" customWidth="true"/>
    <col min="24" max="16384" width="9" style="18"/>
  </cols>
  <sheetData>
    <row r="1" ht="30" customHeight="true" spans="1:23">
      <c r="A1" s="26" t="s">
        <v>181</v>
      </c>
      <c r="B1" s="27"/>
      <c r="C1" s="27"/>
      <c r="D1" s="28"/>
      <c r="E1" s="27"/>
      <c r="F1" s="54"/>
      <c r="G1" s="28"/>
      <c r="H1" s="28"/>
      <c r="I1" s="28"/>
      <c r="J1" s="28"/>
      <c r="K1" s="68"/>
      <c r="L1" s="28"/>
      <c r="M1" s="68"/>
      <c r="N1" s="28"/>
      <c r="O1" s="28"/>
      <c r="P1" s="79"/>
      <c r="Q1" s="28"/>
      <c r="R1" s="79"/>
      <c r="S1" s="28"/>
      <c r="T1" s="28"/>
      <c r="U1" s="27"/>
      <c r="V1" s="27"/>
      <c r="W1" s="27"/>
    </row>
    <row r="2" ht="60" customHeight="true" spans="1:23">
      <c r="A2" s="29" t="s">
        <v>182</v>
      </c>
      <c r="B2" s="30"/>
      <c r="C2" s="30"/>
      <c r="D2" s="31"/>
      <c r="E2" s="30"/>
      <c r="F2" s="55"/>
      <c r="G2" s="31"/>
      <c r="H2" s="31"/>
      <c r="I2" s="31"/>
      <c r="J2" s="31"/>
      <c r="K2" s="69"/>
      <c r="L2" s="31"/>
      <c r="M2" s="69"/>
      <c r="N2" s="31"/>
      <c r="O2" s="31"/>
      <c r="P2" s="80"/>
      <c r="Q2" s="31"/>
      <c r="R2" s="80"/>
      <c r="S2" s="31"/>
      <c r="T2" s="31"/>
      <c r="U2" s="30"/>
      <c r="V2" s="30"/>
      <c r="W2" s="30"/>
    </row>
    <row r="3" s="16" customFormat="true" ht="24.95" customHeight="true" spans="2:23">
      <c r="B3" s="32">
        <v>56001</v>
      </c>
      <c r="C3" s="32">
        <f>B3*0.3</f>
        <v>16800.3</v>
      </c>
      <c r="D3" s="32"/>
      <c r="E3" s="32">
        <f>B3*0.3</f>
        <v>16800.3</v>
      </c>
      <c r="F3" s="32"/>
      <c r="G3" s="32"/>
      <c r="H3" s="32"/>
      <c r="I3" s="32">
        <f>B3*0.2</f>
        <v>11200.2</v>
      </c>
      <c r="J3" s="32"/>
      <c r="K3" s="32">
        <f>B3*0.05</f>
        <v>2800.05</v>
      </c>
      <c r="L3" s="32"/>
      <c r="M3" s="32">
        <f>B3*0.05</f>
        <v>2800.05</v>
      </c>
      <c r="N3" s="81"/>
      <c r="O3" s="81"/>
      <c r="P3" s="81">
        <f>B3*0.05</f>
        <v>2800.05</v>
      </c>
      <c r="Q3" s="81"/>
      <c r="R3" s="32">
        <f>B3*0.05</f>
        <v>2800.05</v>
      </c>
      <c r="S3" s="81"/>
      <c r="T3" s="81"/>
      <c r="U3" s="90" t="s">
        <v>183</v>
      </c>
      <c r="V3" s="91"/>
      <c r="W3" s="92" t="s">
        <v>184</v>
      </c>
    </row>
    <row r="4" s="17" customFormat="true" ht="30.75" customHeight="true" spans="1:23">
      <c r="A4" s="33" t="s">
        <v>2</v>
      </c>
      <c r="B4" s="34" t="s">
        <v>124</v>
      </c>
      <c r="C4" s="35" t="s">
        <v>185</v>
      </c>
      <c r="D4" s="36"/>
      <c r="E4" s="35" t="s">
        <v>186</v>
      </c>
      <c r="F4" s="56"/>
      <c r="G4" s="57"/>
      <c r="H4" s="58" t="s">
        <v>187</v>
      </c>
      <c r="I4" s="70" t="s">
        <v>188</v>
      </c>
      <c r="J4" s="71"/>
      <c r="K4" s="71"/>
      <c r="L4" s="71"/>
      <c r="M4" s="71"/>
      <c r="N4" s="72"/>
      <c r="O4" s="58" t="s">
        <v>189</v>
      </c>
      <c r="P4" s="82" t="s">
        <v>190</v>
      </c>
      <c r="Q4" s="71"/>
      <c r="R4" s="87"/>
      <c r="S4" s="72"/>
      <c r="T4" s="88" t="s">
        <v>191</v>
      </c>
      <c r="U4" s="93" t="s">
        <v>192</v>
      </c>
      <c r="V4" s="94" t="s">
        <v>193</v>
      </c>
      <c r="W4" s="95" t="s">
        <v>194</v>
      </c>
    </row>
    <row r="5" s="17" customFormat="true" ht="53" customHeight="true" spans="1:23">
      <c r="A5" s="33"/>
      <c r="B5" s="37"/>
      <c r="C5" s="38"/>
      <c r="D5" s="39"/>
      <c r="E5" s="59"/>
      <c r="F5" s="60"/>
      <c r="G5" s="61"/>
      <c r="H5" s="62"/>
      <c r="I5" s="70" t="s">
        <v>195</v>
      </c>
      <c r="J5" s="72"/>
      <c r="K5" s="73" t="s">
        <v>196</v>
      </c>
      <c r="L5" s="74"/>
      <c r="M5" s="73" t="s">
        <v>197</v>
      </c>
      <c r="N5" s="72"/>
      <c r="O5" s="62"/>
      <c r="P5" s="82" t="s">
        <v>198</v>
      </c>
      <c r="Q5" s="72"/>
      <c r="R5" s="82" t="s">
        <v>199</v>
      </c>
      <c r="S5" s="72"/>
      <c r="T5" s="89"/>
      <c r="U5" s="96"/>
      <c r="V5" s="97"/>
      <c r="W5" s="96"/>
    </row>
    <row r="6" s="18" customFormat="true" ht="27.75" customHeight="true" spans="1:23">
      <c r="A6" s="40"/>
      <c r="B6" s="41"/>
      <c r="C6" s="42" t="s">
        <v>135</v>
      </c>
      <c r="D6" s="43" t="s">
        <v>133</v>
      </c>
      <c r="E6" s="42" t="s">
        <v>200</v>
      </c>
      <c r="F6" s="63" t="s">
        <v>201</v>
      </c>
      <c r="G6" s="43" t="s">
        <v>133</v>
      </c>
      <c r="H6" s="43" t="s">
        <v>202</v>
      </c>
      <c r="I6" s="43" t="s">
        <v>203</v>
      </c>
      <c r="J6" s="43" t="s">
        <v>133</v>
      </c>
      <c r="K6" s="75" t="s">
        <v>204</v>
      </c>
      <c r="L6" s="43" t="s">
        <v>133</v>
      </c>
      <c r="M6" s="75" t="s">
        <v>204</v>
      </c>
      <c r="N6" s="43" t="s">
        <v>133</v>
      </c>
      <c r="O6" s="43" t="s">
        <v>205</v>
      </c>
      <c r="P6" s="83" t="s">
        <v>206</v>
      </c>
      <c r="Q6" s="43" t="s">
        <v>133</v>
      </c>
      <c r="R6" s="83" t="s">
        <v>206</v>
      </c>
      <c r="S6" s="43" t="s">
        <v>133</v>
      </c>
      <c r="T6" s="51"/>
      <c r="U6" s="77"/>
      <c r="V6" s="98"/>
      <c r="W6" s="77"/>
    </row>
    <row r="7" s="19" customFormat="true" ht="24" hidden="true" customHeight="true" spans="1:23">
      <c r="A7" s="44"/>
      <c r="B7" s="45" t="s">
        <v>207</v>
      </c>
      <c r="C7" s="46">
        <f>C8+C20+C28+C36+C41+C49+C52+C54+C58+C62+C72+C82+C87+C100</f>
        <v>14130237</v>
      </c>
      <c r="D7" s="47">
        <f>D8+D20+D28+D36+D41+D49+D52+D54+D58+D62+D72+D82+D87+D100</f>
        <v>16800.3</v>
      </c>
      <c r="E7" s="46">
        <f>E8+E20+E28+E36+E41+E49+E52+E54+E58+E62+E72+E82+E87+E100</f>
        <v>1235896</v>
      </c>
      <c r="F7" s="64">
        <f>F8+F20+F28+F36+F41+F49+F52+F54+F58+F62+F72+F82+F87+F100</f>
        <v>85</v>
      </c>
      <c r="G7" s="47">
        <f>G8+G20+G28+G36+G41+G49+G52+G54+G58+G62+G72+G82+G87+G100</f>
        <v>16800.3</v>
      </c>
      <c r="H7" s="47">
        <f>J7+L7+N7</f>
        <v>16800.3</v>
      </c>
      <c r="I7" s="47">
        <f t="shared" ref="I7:R7" si="0">I8+I20+I28+I36+I41+I49+I52+I54+I58+I62+I72+I82+I87+I100</f>
        <v>5863.744</v>
      </c>
      <c r="J7" s="47">
        <f t="shared" si="0"/>
        <v>11200.2</v>
      </c>
      <c r="K7" s="76">
        <f t="shared" si="0"/>
        <v>301</v>
      </c>
      <c r="L7" s="47">
        <f t="shared" si="0"/>
        <v>2800.05</v>
      </c>
      <c r="M7" s="46">
        <f t="shared" si="0"/>
        <v>89</v>
      </c>
      <c r="N7" s="47">
        <f t="shared" si="0"/>
        <v>2800.05</v>
      </c>
      <c r="O7" s="47">
        <f>Q7+S7</f>
        <v>5600.1</v>
      </c>
      <c r="P7" s="84">
        <f>P8+P20+P28+P36+P41+P49+P52+P54+P58+P62+P72+P82+P87+P100</f>
        <v>69.3333333333333</v>
      </c>
      <c r="Q7" s="47">
        <f>Q8+Q20+Q28+Q36+Q41+Q49+Q52+Q54+Q58+Q62+Q72+Q82+Q87+Q100</f>
        <v>2800.05</v>
      </c>
      <c r="R7" s="84">
        <f>R8+R20+R28+R36+R41+R49+R52+R54+R58+R62+R72+R82+R87+R100</f>
        <v>74.3333333333333</v>
      </c>
      <c r="S7" s="47">
        <f>S8+S20+S28+S36+S41+S49+S52+S54+S58+S62+S72+S82+S87+S100</f>
        <v>2800.05</v>
      </c>
      <c r="T7" s="47">
        <f>D7+G7+J7+L7+N7+Q7+S7</f>
        <v>56001</v>
      </c>
      <c r="U7" s="76"/>
      <c r="V7" s="76"/>
      <c r="W7" s="76">
        <f>T7</f>
        <v>56001</v>
      </c>
    </row>
    <row r="8" s="19" customFormat="true" ht="27.75" customHeight="true" spans="1:23">
      <c r="A8" s="48" t="s">
        <v>6</v>
      </c>
      <c r="B8" s="48" t="s">
        <v>7</v>
      </c>
      <c r="C8" s="46">
        <f>SUM(C9:C19)</f>
        <v>1898742</v>
      </c>
      <c r="D8" s="47">
        <f>SUM(D9:D19)</f>
        <v>2257.53009115134</v>
      </c>
      <c r="E8" s="46">
        <f>SUM(E9:E19)</f>
        <v>157695</v>
      </c>
      <c r="F8" s="64">
        <f>SUM(F9:F19)</f>
        <v>10.872404312337</v>
      </c>
      <c r="G8" s="47">
        <f>SUM(G9:G19)</f>
        <v>2148.93710786535</v>
      </c>
      <c r="H8" s="47">
        <f>J8+L8+N8</f>
        <v>2307.44827091661</v>
      </c>
      <c r="I8" s="47">
        <f t="shared" ref="I8:R8" si="1">SUM(I9:I19)</f>
        <v>464.1</v>
      </c>
      <c r="J8" s="47">
        <f t="shared" si="1"/>
        <v>886.46653400967</v>
      </c>
      <c r="K8" s="76">
        <f t="shared" si="1"/>
        <v>31</v>
      </c>
      <c r="L8" s="47">
        <f t="shared" si="1"/>
        <v>288.377242524917</v>
      </c>
      <c r="M8" s="76">
        <f t="shared" si="1"/>
        <v>36</v>
      </c>
      <c r="N8" s="47">
        <f t="shared" si="1"/>
        <v>1132.60449438202</v>
      </c>
      <c r="O8" s="47">
        <f t="shared" ref="O8:O39" si="2">Q8+S8</f>
        <v>741.061870472577</v>
      </c>
      <c r="P8" s="84">
        <f>SUM(P9:P19)</f>
        <v>9.33333333333333</v>
      </c>
      <c r="Q8" s="47">
        <f>SUM(Q9:Q19)</f>
        <v>376.929807692308</v>
      </c>
      <c r="R8" s="84">
        <f>SUM(R9:R19)</f>
        <v>9.66666666666667</v>
      </c>
      <c r="S8" s="47">
        <f>SUM(S9:S19)</f>
        <v>364.132062780269</v>
      </c>
      <c r="T8" s="76">
        <f t="shared" ref="T8:T71" si="3">D8+G8+H8+O8</f>
        <v>7454.97734040587</v>
      </c>
      <c r="U8" s="76"/>
      <c r="V8" s="76"/>
      <c r="W8" s="76">
        <v>7455</v>
      </c>
    </row>
    <row r="9" ht="27.75" hidden="true" customHeight="true" spans="1:23">
      <c r="A9" s="40">
        <v>1</v>
      </c>
      <c r="B9" s="49" t="s">
        <v>8</v>
      </c>
      <c r="C9" s="50">
        <v>362040</v>
      </c>
      <c r="D9" s="51">
        <f>C9*$C$3/$C$7</f>
        <v>430.451422152367</v>
      </c>
      <c r="E9" s="50">
        <v>15668</v>
      </c>
      <c r="F9" s="65">
        <f t="shared" ref="F9:F19" si="4">IF((E9/$E$7)&gt;1,ABS(1-E9/$E$7-1),1-E9/$E$7)</f>
        <v>0.987322557885129</v>
      </c>
      <c r="G9" s="51">
        <f>F9*$E$3/$F$7</f>
        <v>195.144884343971</v>
      </c>
      <c r="H9" s="51">
        <f t="shared" ref="H9:H40" si="5">J9+L9+N9</f>
        <v>188.767415730337</v>
      </c>
      <c r="I9" s="51">
        <v>0</v>
      </c>
      <c r="J9" s="51">
        <f>I9*$I$3/$I$7</f>
        <v>0</v>
      </c>
      <c r="K9" s="77">
        <v>0</v>
      </c>
      <c r="L9" s="51">
        <f>K9*$K$3/$K$7</f>
        <v>0</v>
      </c>
      <c r="M9" s="77">
        <v>6</v>
      </c>
      <c r="N9" s="51">
        <f>M9*$M$3/$M$7</f>
        <v>188.767415730337</v>
      </c>
      <c r="O9" s="51">
        <f t="shared" si="2"/>
        <v>78.054170619179</v>
      </c>
      <c r="P9" s="85">
        <v>1</v>
      </c>
      <c r="Q9" s="51">
        <f>P9*$P$3/$P$7</f>
        <v>40.3853365384615</v>
      </c>
      <c r="R9" s="85">
        <v>1</v>
      </c>
      <c r="S9" s="51">
        <f>R9*$R$3/$R$7</f>
        <v>37.6688340807175</v>
      </c>
      <c r="T9" s="77">
        <f t="shared" si="3"/>
        <v>892.417892845854</v>
      </c>
      <c r="U9" s="77"/>
      <c r="V9" s="77"/>
      <c r="W9" s="77">
        <v>892</v>
      </c>
    </row>
    <row r="10" ht="27.75" customHeight="true" spans="1:23">
      <c r="A10" s="40">
        <v>2</v>
      </c>
      <c r="B10" s="49" t="s">
        <v>9</v>
      </c>
      <c r="C10" s="50">
        <v>367828</v>
      </c>
      <c r="D10" s="51">
        <f>C10*$C$3/$C$7</f>
        <v>437.333128128</v>
      </c>
      <c r="E10" s="50">
        <v>13973</v>
      </c>
      <c r="F10" s="65">
        <f t="shared" si="4"/>
        <v>0.98869403250759</v>
      </c>
      <c r="G10" s="51">
        <f>F10*$E$3/$F$7</f>
        <v>195.41595710985</v>
      </c>
      <c r="H10" s="51">
        <f t="shared" si="5"/>
        <v>112.988691253873</v>
      </c>
      <c r="I10" s="51">
        <v>0</v>
      </c>
      <c r="J10" s="51">
        <f>I10*$I$3/$I$7</f>
        <v>0</v>
      </c>
      <c r="K10" s="77">
        <v>2</v>
      </c>
      <c r="L10" s="51">
        <f>K10*$K$3/$K$7</f>
        <v>18.6049833887043</v>
      </c>
      <c r="M10" s="77">
        <v>3</v>
      </c>
      <c r="N10" s="51">
        <f>M10*$M$3/$M$7</f>
        <v>94.3837078651686</v>
      </c>
      <c r="O10" s="51">
        <f t="shared" si="2"/>
        <v>64.5923917730252</v>
      </c>
      <c r="P10" s="85">
        <f>1/1.5</f>
        <v>0.666666666666667</v>
      </c>
      <c r="Q10" s="51">
        <f>P10*$P$3/$P$7</f>
        <v>26.9235576923077</v>
      </c>
      <c r="R10" s="85">
        <v>1</v>
      </c>
      <c r="S10" s="51">
        <f>R10*$R$3/$R$7</f>
        <v>37.6688340807175</v>
      </c>
      <c r="T10" s="77">
        <f t="shared" si="3"/>
        <v>810.330168264748</v>
      </c>
      <c r="U10" s="77"/>
      <c r="V10" s="77"/>
      <c r="W10" s="77">
        <v>810</v>
      </c>
    </row>
    <row r="11" ht="27.75" customHeight="true" spans="1:23">
      <c r="A11" s="40">
        <v>3</v>
      </c>
      <c r="B11" s="49" t="s">
        <v>10</v>
      </c>
      <c r="C11" s="50">
        <v>21875</v>
      </c>
      <c r="D11" s="51">
        <f>C11*$C$3/$C$7</f>
        <v>26.0085207700338</v>
      </c>
      <c r="E11" s="50">
        <v>14465</v>
      </c>
      <c r="F11" s="65">
        <f t="shared" si="4"/>
        <v>0.988295940758769</v>
      </c>
      <c r="G11" s="51">
        <f>F11*$E$3/$F$7</f>
        <v>195.337274041524</v>
      </c>
      <c r="H11" s="51">
        <f t="shared" si="5"/>
        <v>270.298047336251</v>
      </c>
      <c r="I11" s="51">
        <v>115.3</v>
      </c>
      <c r="J11" s="51">
        <f>I11*$I$3/$I$7</f>
        <v>220.231827992491</v>
      </c>
      <c r="K11" s="77">
        <v>2</v>
      </c>
      <c r="L11" s="51">
        <f>K11*$K$3/$K$7</f>
        <v>18.6049833887043</v>
      </c>
      <c r="M11" s="77">
        <v>1</v>
      </c>
      <c r="N11" s="51">
        <f>M11*$M$3/$M$7</f>
        <v>31.4612359550562</v>
      </c>
      <c r="O11" s="51">
        <f t="shared" si="2"/>
        <v>78.054170619179</v>
      </c>
      <c r="P11" s="85">
        <v>1</v>
      </c>
      <c r="Q11" s="51">
        <f>P11*$P$3/$P$7</f>
        <v>40.3853365384615</v>
      </c>
      <c r="R11" s="85">
        <v>1</v>
      </c>
      <c r="S11" s="51">
        <f>R11*$R$3/$R$7</f>
        <v>37.6688340807175</v>
      </c>
      <c r="T11" s="77">
        <f t="shared" si="3"/>
        <v>569.698012766988</v>
      </c>
      <c r="U11" s="77"/>
      <c r="V11" s="85"/>
      <c r="W11" s="77">
        <v>570</v>
      </c>
    </row>
    <row r="12" ht="27.75" customHeight="true" spans="1:23">
      <c r="A12" s="40">
        <v>4</v>
      </c>
      <c r="B12" s="49" t="s">
        <v>11</v>
      </c>
      <c r="C12" s="50">
        <v>224329</v>
      </c>
      <c r="D12" s="51">
        <f>C12*$C$3/$C$7</f>
        <v>266.718420837527</v>
      </c>
      <c r="E12" s="50">
        <v>14061</v>
      </c>
      <c r="F12" s="65">
        <f t="shared" si="4"/>
        <v>0.988622829105362</v>
      </c>
      <c r="G12" s="51">
        <f>F12*$E$3/$F$7</f>
        <v>195.401883715515</v>
      </c>
      <c r="H12" s="51">
        <f t="shared" si="5"/>
        <v>250.652040347947</v>
      </c>
      <c r="I12" s="51">
        <v>44</v>
      </c>
      <c r="J12" s="51">
        <f>I12*$I$3/$I$7</f>
        <v>84.0433688783139</v>
      </c>
      <c r="K12" s="77">
        <v>1</v>
      </c>
      <c r="L12" s="51">
        <f>K12*$K$3/$K$7</f>
        <v>9.30249169435216</v>
      </c>
      <c r="M12" s="77">
        <v>5</v>
      </c>
      <c r="N12" s="51">
        <f>M12*$M$3/$M$7</f>
        <v>157.306179775281</v>
      </c>
      <c r="O12" s="51">
        <f t="shared" si="2"/>
        <v>78.054170619179</v>
      </c>
      <c r="P12" s="85">
        <v>1</v>
      </c>
      <c r="Q12" s="51">
        <f>P12*$P$3/$P$7</f>
        <v>40.3853365384615</v>
      </c>
      <c r="R12" s="85">
        <v>1</v>
      </c>
      <c r="S12" s="51">
        <f>R12*$R$3/$R$7</f>
        <v>37.6688340807175</v>
      </c>
      <c r="T12" s="77">
        <f t="shared" si="3"/>
        <v>790.826515520168</v>
      </c>
      <c r="U12" s="77"/>
      <c r="V12" s="85"/>
      <c r="W12" s="77">
        <v>791</v>
      </c>
    </row>
    <row r="13" ht="27.75" hidden="true" customHeight="true" spans="1:23">
      <c r="A13" s="40">
        <v>5</v>
      </c>
      <c r="B13" s="49" t="s">
        <v>12</v>
      </c>
      <c r="C13" s="50">
        <v>145288</v>
      </c>
      <c r="D13" s="51">
        <f>C13*$C$3/$C$7</f>
        <v>172.741758429105</v>
      </c>
      <c r="E13" s="50">
        <v>14042</v>
      </c>
      <c r="F13" s="65">
        <f t="shared" si="4"/>
        <v>0.988638202567206</v>
      </c>
      <c r="G13" s="51">
        <f>F13*$E$3/$F$7</f>
        <v>195.404922289292</v>
      </c>
      <c r="H13" s="51">
        <f t="shared" si="5"/>
        <v>94.3837078651686</v>
      </c>
      <c r="I13" s="51">
        <v>0</v>
      </c>
      <c r="J13" s="51">
        <f>I13*$I$3/$I$7</f>
        <v>0</v>
      </c>
      <c r="K13" s="77">
        <v>0</v>
      </c>
      <c r="L13" s="51">
        <f>K13*$K$3/$K$7</f>
        <v>0</v>
      </c>
      <c r="M13" s="77">
        <v>3</v>
      </c>
      <c r="N13" s="51">
        <f>M13*$M$3/$M$7</f>
        <v>94.3837078651686</v>
      </c>
      <c r="O13" s="51">
        <f t="shared" si="2"/>
        <v>65.4978925922732</v>
      </c>
      <c r="P13" s="85">
        <v>1</v>
      </c>
      <c r="Q13" s="51">
        <f>P13*$P$3/$P$7</f>
        <v>40.3853365384615</v>
      </c>
      <c r="R13" s="85">
        <f>1/1.5</f>
        <v>0.666666666666667</v>
      </c>
      <c r="S13" s="51">
        <f>R13*$R$3/$R$7</f>
        <v>25.1125560538117</v>
      </c>
      <c r="T13" s="77">
        <f t="shared" si="3"/>
        <v>528.028281175839</v>
      </c>
      <c r="U13" s="77"/>
      <c r="V13" s="85"/>
      <c r="W13" s="77">
        <v>528</v>
      </c>
    </row>
    <row r="14" ht="27.75" hidden="true" customHeight="true" spans="1:23">
      <c r="A14" s="40">
        <v>6</v>
      </c>
      <c r="B14" s="49" t="s">
        <v>13</v>
      </c>
      <c r="C14" s="50">
        <v>212229</v>
      </c>
      <c r="D14" s="51">
        <f>C14*$C$3/$C$7</f>
        <v>252.331993348732</v>
      </c>
      <c r="E14" s="50">
        <v>14062</v>
      </c>
      <c r="F14" s="65">
        <f t="shared" si="4"/>
        <v>0.988622019975791</v>
      </c>
      <c r="G14" s="51">
        <f>F14*$E$3/$F$7</f>
        <v>195.40172379058</v>
      </c>
      <c r="H14" s="51">
        <f t="shared" si="5"/>
        <v>62.9224719101124</v>
      </c>
      <c r="I14" s="51">
        <v>0</v>
      </c>
      <c r="J14" s="51">
        <f>I14*$I$3/$I$7</f>
        <v>0</v>
      </c>
      <c r="K14" s="77">
        <v>0</v>
      </c>
      <c r="L14" s="51">
        <f>K14*$K$3/$K$7</f>
        <v>0</v>
      </c>
      <c r="M14" s="77">
        <v>2</v>
      </c>
      <c r="N14" s="51">
        <f>M14*$M$3/$M$7</f>
        <v>62.9224719101124</v>
      </c>
      <c r="O14" s="51">
        <f t="shared" si="2"/>
        <v>78.054170619179</v>
      </c>
      <c r="P14" s="85">
        <v>1</v>
      </c>
      <c r="Q14" s="51">
        <f>P14*$P$3/$P$7</f>
        <v>40.3853365384615</v>
      </c>
      <c r="R14" s="85">
        <v>1</v>
      </c>
      <c r="S14" s="51">
        <f>R14*$R$3/$R$7</f>
        <v>37.6688340807175</v>
      </c>
      <c r="T14" s="77">
        <f t="shared" si="3"/>
        <v>588.710359668603</v>
      </c>
      <c r="U14" s="77"/>
      <c r="V14" s="85"/>
      <c r="W14" s="77">
        <v>589</v>
      </c>
    </row>
    <row r="15" ht="27.75" customHeight="true" spans="1:23">
      <c r="A15" s="40">
        <v>7</v>
      </c>
      <c r="B15" s="49" t="s">
        <v>14</v>
      </c>
      <c r="C15" s="50">
        <v>138065</v>
      </c>
      <c r="D15" s="51">
        <f>C15*$C$3/$C$7</f>
        <v>164.153893490958</v>
      </c>
      <c r="E15" s="50">
        <v>13738</v>
      </c>
      <c r="F15" s="65">
        <f t="shared" si="4"/>
        <v>0.988884177956721</v>
      </c>
      <c r="G15" s="51">
        <f>F15*$E$3/$F$7</f>
        <v>195.453539469721</v>
      </c>
      <c r="H15" s="51">
        <f t="shared" si="5"/>
        <v>253.884857590802</v>
      </c>
      <c r="I15" s="51">
        <v>0</v>
      </c>
      <c r="J15" s="51">
        <f>I15*$I$3/$I$7</f>
        <v>0</v>
      </c>
      <c r="K15" s="77">
        <v>7</v>
      </c>
      <c r="L15" s="51">
        <f>K15*$K$3/$K$7</f>
        <v>65.1174418604651</v>
      </c>
      <c r="M15" s="77">
        <v>6</v>
      </c>
      <c r="N15" s="51">
        <f>M15*$M$3/$M$7</f>
        <v>188.767415730337</v>
      </c>
      <c r="O15" s="51">
        <f t="shared" si="2"/>
        <v>78.054170619179</v>
      </c>
      <c r="P15" s="85">
        <v>1</v>
      </c>
      <c r="Q15" s="51">
        <f>P15*$P$3/$P$7</f>
        <v>40.3853365384615</v>
      </c>
      <c r="R15" s="85">
        <v>1</v>
      </c>
      <c r="S15" s="51">
        <f>R15*$R$3/$R$7</f>
        <v>37.6688340807175</v>
      </c>
      <c r="T15" s="77">
        <f t="shared" si="3"/>
        <v>691.54646117066</v>
      </c>
      <c r="U15" s="77"/>
      <c r="V15" s="85"/>
      <c r="W15" s="77">
        <v>692</v>
      </c>
    </row>
    <row r="16" ht="27.75" customHeight="true" spans="1:23">
      <c r="A16" s="40">
        <v>8</v>
      </c>
      <c r="B16" s="49" t="s">
        <v>15</v>
      </c>
      <c r="C16" s="50">
        <v>141067</v>
      </c>
      <c r="D16" s="51">
        <f>C16*$C$3/$C$7</f>
        <v>167.723154261319</v>
      </c>
      <c r="E16" s="50">
        <v>14245</v>
      </c>
      <c r="F16" s="65">
        <f t="shared" si="4"/>
        <v>0.988473949264339</v>
      </c>
      <c r="G16" s="51">
        <f>F16*$E$3/$F$7</f>
        <v>195.372457527361</v>
      </c>
      <c r="H16" s="51">
        <f t="shared" si="5"/>
        <v>135.147435514577</v>
      </c>
      <c r="I16" s="51">
        <v>0</v>
      </c>
      <c r="J16" s="51">
        <f>I16*$I$3/$I$7</f>
        <v>0</v>
      </c>
      <c r="K16" s="77">
        <v>1</v>
      </c>
      <c r="L16" s="51">
        <f>K16*$K$3/$K$7</f>
        <v>9.30249169435216</v>
      </c>
      <c r="M16" s="77">
        <v>4</v>
      </c>
      <c r="N16" s="51">
        <f>M16*$M$3/$M$7</f>
        <v>125.844943820225</v>
      </c>
      <c r="O16" s="51">
        <f t="shared" si="2"/>
        <v>78.054170619179</v>
      </c>
      <c r="P16" s="85">
        <v>1</v>
      </c>
      <c r="Q16" s="51">
        <f>P16*$P$3/$P$7</f>
        <v>40.3853365384615</v>
      </c>
      <c r="R16" s="85">
        <v>1</v>
      </c>
      <c r="S16" s="51">
        <f>R16*$R$3/$R$7</f>
        <v>37.6688340807175</v>
      </c>
      <c r="T16" s="77">
        <f t="shared" si="3"/>
        <v>576.297217922436</v>
      </c>
      <c r="U16" s="77"/>
      <c r="V16" s="85"/>
      <c r="W16" s="77">
        <v>576</v>
      </c>
    </row>
    <row r="17" ht="27.75" hidden="true" customHeight="true" spans="1:23">
      <c r="A17" s="40">
        <v>9</v>
      </c>
      <c r="B17" s="49" t="s">
        <v>16</v>
      </c>
      <c r="C17" s="50">
        <v>16658</v>
      </c>
      <c r="D17" s="51">
        <f>C17*$C$3/$C$7</f>
        <v>19.8057114965588</v>
      </c>
      <c r="E17" s="50">
        <v>15074</v>
      </c>
      <c r="F17" s="65">
        <f t="shared" si="4"/>
        <v>0.987803180850169</v>
      </c>
      <c r="G17" s="51">
        <f>F17*$E$3/$F$7</f>
        <v>195.23987975573</v>
      </c>
      <c r="H17" s="51">
        <f t="shared" si="5"/>
        <v>0</v>
      </c>
      <c r="I17" s="51">
        <v>0</v>
      </c>
      <c r="J17" s="51">
        <f>I17*$I$3/$I$7</f>
        <v>0</v>
      </c>
      <c r="K17" s="77">
        <v>0</v>
      </c>
      <c r="L17" s="51">
        <f>K17*$K$3/$K$7</f>
        <v>0</v>
      </c>
      <c r="M17" s="77">
        <v>0</v>
      </c>
      <c r="N17" s="51">
        <f>M17*$M$3/$M$7</f>
        <v>0</v>
      </c>
      <c r="O17" s="51">
        <f t="shared" si="2"/>
        <v>0</v>
      </c>
      <c r="P17" s="85"/>
      <c r="Q17" s="51">
        <f>P17*$P$3/$P$7</f>
        <v>0</v>
      </c>
      <c r="R17" s="85"/>
      <c r="S17" s="51">
        <f>R17*$R$3/$R$7</f>
        <v>0</v>
      </c>
      <c r="T17" s="77">
        <f t="shared" si="3"/>
        <v>215.045591252289</v>
      </c>
      <c r="U17" s="77"/>
      <c r="V17" s="85"/>
      <c r="W17" s="77">
        <v>215</v>
      </c>
    </row>
    <row r="18" ht="27.75" customHeight="true" spans="1:23">
      <c r="A18" s="40">
        <v>10</v>
      </c>
      <c r="B18" s="49" t="s">
        <v>17</v>
      </c>
      <c r="C18" s="50">
        <v>131663</v>
      </c>
      <c r="D18" s="51">
        <f>C18*$C$3/$C$7</f>
        <v>156.542165492341</v>
      </c>
      <c r="E18" s="50">
        <v>14235</v>
      </c>
      <c r="F18" s="65">
        <f t="shared" si="4"/>
        <v>0.988482040560047</v>
      </c>
      <c r="G18" s="51">
        <f>F18*$E$3/$F$7</f>
        <v>195.374056776717</v>
      </c>
      <c r="H18" s="51">
        <f t="shared" si="5"/>
        <v>374.120703182002</v>
      </c>
      <c r="I18" s="51">
        <v>73.4</v>
      </c>
      <c r="J18" s="51">
        <f>I18*$I$3/$I$7</f>
        <v>140.199619901551</v>
      </c>
      <c r="K18" s="77">
        <v>15</v>
      </c>
      <c r="L18" s="51">
        <f>K18*$K$3/$K$7</f>
        <v>139.537375415282</v>
      </c>
      <c r="M18" s="77">
        <v>3</v>
      </c>
      <c r="N18" s="51">
        <f>M18*$M$3/$M$7</f>
        <v>94.3837078651686</v>
      </c>
      <c r="O18" s="51">
        <f t="shared" si="2"/>
        <v>78.054170619179</v>
      </c>
      <c r="P18" s="85">
        <v>1</v>
      </c>
      <c r="Q18" s="51">
        <f>P18*$P$3/$P$7</f>
        <v>40.3853365384615</v>
      </c>
      <c r="R18" s="85">
        <v>1</v>
      </c>
      <c r="S18" s="51">
        <f>R18*$R$3/$R$7</f>
        <v>37.6688340807175</v>
      </c>
      <c r="T18" s="77">
        <f t="shared" si="3"/>
        <v>804.091096070239</v>
      </c>
      <c r="U18" s="77"/>
      <c r="V18" s="85"/>
      <c r="W18" s="77">
        <v>804</v>
      </c>
    </row>
    <row r="19" ht="27.75" customHeight="true" spans="1:23">
      <c r="A19" s="40">
        <v>11</v>
      </c>
      <c r="B19" s="49" t="s">
        <v>18</v>
      </c>
      <c r="C19" s="50">
        <v>137700</v>
      </c>
      <c r="D19" s="51">
        <f>C19*$C$3/$C$7</f>
        <v>163.719922744396</v>
      </c>
      <c r="E19" s="50">
        <v>14132</v>
      </c>
      <c r="F19" s="65">
        <f t="shared" si="4"/>
        <v>0.988565380905837</v>
      </c>
      <c r="G19" s="51">
        <f>F19*$E$3/$F$7</f>
        <v>195.390529045086</v>
      </c>
      <c r="H19" s="51">
        <f t="shared" si="5"/>
        <v>564.28290018554</v>
      </c>
      <c r="I19" s="51">
        <v>231.4</v>
      </c>
      <c r="J19" s="51">
        <f>I19*$I$3/$I$7</f>
        <v>441.991717237315</v>
      </c>
      <c r="K19" s="77">
        <v>3</v>
      </c>
      <c r="L19" s="51">
        <f>K19*$K$3/$K$7</f>
        <v>27.9074750830565</v>
      </c>
      <c r="M19" s="77">
        <v>3</v>
      </c>
      <c r="N19" s="51">
        <f>M19*$M$3/$M$7</f>
        <v>94.3837078651686</v>
      </c>
      <c r="O19" s="51">
        <f t="shared" si="2"/>
        <v>64.5923917730252</v>
      </c>
      <c r="P19" s="85">
        <f>1/1.5</f>
        <v>0.666666666666667</v>
      </c>
      <c r="Q19" s="51">
        <f>P19*$P$3/$P$7</f>
        <v>26.9235576923077</v>
      </c>
      <c r="R19" s="85">
        <v>1</v>
      </c>
      <c r="S19" s="51">
        <f>R19*$R$3/$R$7</f>
        <v>37.6688340807175</v>
      </c>
      <c r="T19" s="77">
        <f t="shared" si="3"/>
        <v>987.985743748047</v>
      </c>
      <c r="U19" s="77"/>
      <c r="V19" s="85"/>
      <c r="W19" s="77">
        <v>988</v>
      </c>
    </row>
    <row r="20" s="19" customFormat="true" ht="27.75" customHeight="true" spans="1:23">
      <c r="A20" s="48" t="s">
        <v>19</v>
      </c>
      <c r="B20" s="48" t="s">
        <v>20</v>
      </c>
      <c r="C20" s="46">
        <f>SUM(C21:C27)</f>
        <v>450019</v>
      </c>
      <c r="D20" s="47">
        <f>SUM(D21:D27)</f>
        <v>535.055017527307</v>
      </c>
      <c r="E20" s="46">
        <f>SUM(E21:E27)</f>
        <v>112623</v>
      </c>
      <c r="F20" s="64">
        <f>SUM(F21:F27)</f>
        <v>6.90887340035084</v>
      </c>
      <c r="G20" s="47">
        <f>SUM(G21:G27)</f>
        <v>1365.54289162252</v>
      </c>
      <c r="H20" s="47">
        <f t="shared" si="5"/>
        <v>1366.17656491311</v>
      </c>
      <c r="I20" s="47">
        <f>I21+I22+I23+I24+I25</f>
        <v>559.4</v>
      </c>
      <c r="J20" s="47">
        <f>SUM(J21:J27)</f>
        <v>1068.49683069384</v>
      </c>
      <c r="K20" s="46">
        <f>SUM(K21:K27)</f>
        <v>32</v>
      </c>
      <c r="L20" s="47">
        <f>SUM(L21:L27)</f>
        <v>297.679734219269</v>
      </c>
      <c r="M20" s="76">
        <f>SUM(M21:M27)</f>
        <v>0</v>
      </c>
      <c r="N20" s="47">
        <f>SUM(N21:N27)</f>
        <v>0</v>
      </c>
      <c r="O20" s="47">
        <f t="shared" si="2"/>
        <v>364.252796222836</v>
      </c>
      <c r="P20" s="84">
        <f>SUM(P21:P27)</f>
        <v>4.66666666666667</v>
      </c>
      <c r="Q20" s="47">
        <f>SUM(Q21:Q27)</f>
        <v>188.464903846154</v>
      </c>
      <c r="R20" s="84">
        <f>SUM(R21:R27)</f>
        <v>4.66666666666667</v>
      </c>
      <c r="S20" s="47">
        <f>SUM(S21:S27)</f>
        <v>175.787892376682</v>
      </c>
      <c r="T20" s="76">
        <f t="shared" si="3"/>
        <v>3631.02727028577</v>
      </c>
      <c r="U20" s="76"/>
      <c r="V20" s="76"/>
      <c r="W20" s="76">
        <v>3631</v>
      </c>
    </row>
    <row r="21" s="18" customFormat="true" ht="27.75" customHeight="true" spans="1:23">
      <c r="A21" s="40">
        <v>1</v>
      </c>
      <c r="B21" s="49" t="s">
        <v>21</v>
      </c>
      <c r="C21" s="50">
        <v>63974</v>
      </c>
      <c r="D21" s="51">
        <f>C21*$C$3/$C$7</f>
        <v>76.0625877824979</v>
      </c>
      <c r="E21" s="50">
        <v>17221</v>
      </c>
      <c r="F21" s="65">
        <f>IF((E21/$E$7)&gt;1,ABS(1-E21/$E$7-1),1-E21/$E$7)</f>
        <v>0.986065979661719</v>
      </c>
      <c r="G21" s="51">
        <f>F21*$E$3/$F$7</f>
        <v>194.89652091895</v>
      </c>
      <c r="H21" s="51">
        <f t="shared" si="5"/>
        <v>584.687001297161</v>
      </c>
      <c r="I21" s="51">
        <v>160</v>
      </c>
      <c r="J21" s="51">
        <f>I21*$I$3/$I$7</f>
        <v>305.612250466596</v>
      </c>
      <c r="K21" s="77">
        <v>30</v>
      </c>
      <c r="L21" s="51">
        <f>K21*$K$3/$K$7</f>
        <v>279.074750830565</v>
      </c>
      <c r="M21" s="77">
        <v>0</v>
      </c>
      <c r="N21" s="51">
        <f>M21*$M$3/$M$7</f>
        <v>0</v>
      </c>
      <c r="O21" s="51">
        <f t="shared" si="2"/>
        <v>52.0361137461194</v>
      </c>
      <c r="P21" s="85">
        <f>1/1.5</f>
        <v>0.666666666666667</v>
      </c>
      <c r="Q21" s="51">
        <f>P21*$P$3/$P$7</f>
        <v>26.9235576923077</v>
      </c>
      <c r="R21" s="85">
        <f>1/1.5</f>
        <v>0.666666666666667</v>
      </c>
      <c r="S21" s="51">
        <f>R21*$R$3/$R$7</f>
        <v>25.1125560538117</v>
      </c>
      <c r="T21" s="77">
        <f t="shared" si="3"/>
        <v>907.682223744728</v>
      </c>
      <c r="U21" s="77"/>
      <c r="V21" s="85"/>
      <c r="W21" s="77">
        <v>908</v>
      </c>
    </row>
    <row r="22" s="18" customFormat="true" ht="27.75" customHeight="true" spans="1:23">
      <c r="A22" s="40">
        <v>2</v>
      </c>
      <c r="B22" s="49" t="s">
        <v>22</v>
      </c>
      <c r="C22" s="50">
        <v>99513</v>
      </c>
      <c r="D22" s="51">
        <f>C22*$C$3/$C$7</f>
        <v>118.317070966326</v>
      </c>
      <c r="E22" s="50">
        <v>15934</v>
      </c>
      <c r="F22" s="65">
        <f t="shared" ref="F22:F27" si="6">IF((E22/$E$7)&gt;1,ABS(1-E22/$E$7-1),1-E22/$E$7)</f>
        <v>0.987107329419304</v>
      </c>
      <c r="G22" s="51">
        <f>F22*$E$3/$F$7</f>
        <v>195.102344311096</v>
      </c>
      <c r="H22" s="51">
        <f t="shared" si="5"/>
        <v>290.408878647433</v>
      </c>
      <c r="I22" s="51">
        <v>142.3</v>
      </c>
      <c r="J22" s="51">
        <f>I22*$I$3/$I$7</f>
        <v>271.803895258729</v>
      </c>
      <c r="K22" s="77">
        <v>2</v>
      </c>
      <c r="L22" s="51">
        <f>K22*$K$3/$K$7</f>
        <v>18.6049833887043</v>
      </c>
      <c r="M22" s="77">
        <v>0</v>
      </c>
      <c r="N22" s="51">
        <f>M22*$M$3/$M$7</f>
        <v>0</v>
      </c>
      <c r="O22" s="51">
        <f t="shared" si="2"/>
        <v>78.054170619179</v>
      </c>
      <c r="P22" s="85">
        <v>1</v>
      </c>
      <c r="Q22" s="51">
        <f>P22*$P$3/$P$7</f>
        <v>40.3853365384615</v>
      </c>
      <c r="R22" s="85">
        <v>1</v>
      </c>
      <c r="S22" s="51">
        <f>R22*$R$3/$R$7</f>
        <v>37.6688340807175</v>
      </c>
      <c r="T22" s="77">
        <f t="shared" si="3"/>
        <v>681.882464544034</v>
      </c>
      <c r="U22" s="77"/>
      <c r="V22" s="85"/>
      <c r="W22" s="77">
        <v>682</v>
      </c>
    </row>
    <row r="23" s="18" customFormat="true" ht="27.75" hidden="true" customHeight="true" spans="1:23">
      <c r="A23" s="40">
        <v>3</v>
      </c>
      <c r="B23" s="49" t="s">
        <v>23</v>
      </c>
      <c r="C23" s="50">
        <v>71758</v>
      </c>
      <c r="D23" s="51">
        <f>C23*$C$3/$C$7</f>
        <v>85.3174598133067</v>
      </c>
      <c r="E23" s="50">
        <v>11918</v>
      </c>
      <c r="F23" s="65">
        <f t="shared" si="6"/>
        <v>0.990356793775528</v>
      </c>
      <c r="G23" s="51">
        <f>F23*$E$3/$F$7</f>
        <v>195.744602852553</v>
      </c>
      <c r="H23" s="51">
        <f t="shared" si="5"/>
        <v>39.3475772475742</v>
      </c>
      <c r="I23" s="51">
        <v>20.6</v>
      </c>
      <c r="J23" s="51">
        <f>I23*$I$3/$I$7</f>
        <v>39.3475772475742</v>
      </c>
      <c r="K23" s="77">
        <v>0</v>
      </c>
      <c r="L23" s="51">
        <f>K23*$K$3/$K$7</f>
        <v>0</v>
      </c>
      <c r="M23" s="77">
        <v>0</v>
      </c>
      <c r="N23" s="51">
        <f>M23*$M$3/$M$7</f>
        <v>0</v>
      </c>
      <c r="O23" s="51">
        <f t="shared" si="2"/>
        <v>78.054170619179</v>
      </c>
      <c r="P23" s="85">
        <v>1</v>
      </c>
      <c r="Q23" s="51">
        <f>P23*$P$3/$P$7</f>
        <v>40.3853365384615</v>
      </c>
      <c r="R23" s="85">
        <v>1</v>
      </c>
      <c r="S23" s="51">
        <f>R23*$R$3/$R$7</f>
        <v>37.6688340807175</v>
      </c>
      <c r="T23" s="77">
        <f t="shared" si="3"/>
        <v>398.463810532613</v>
      </c>
      <c r="U23" s="77"/>
      <c r="V23" s="85"/>
      <c r="W23" s="77">
        <v>398</v>
      </c>
    </row>
    <row r="24" s="18" customFormat="true" ht="27.75" hidden="true" customHeight="true" spans="1:23">
      <c r="A24" s="40">
        <v>4</v>
      </c>
      <c r="B24" s="49" t="s">
        <v>24</v>
      </c>
      <c r="C24" s="50">
        <v>24254</v>
      </c>
      <c r="D24" s="51">
        <f>C24*$C$3/$C$7</f>
        <v>28.837058868864</v>
      </c>
      <c r="E24" s="50">
        <v>14687</v>
      </c>
      <c r="F24" s="65">
        <f t="shared" si="6"/>
        <v>0.988116313994058</v>
      </c>
      <c r="G24" s="51">
        <f>F24*$E$3/$F$7</f>
        <v>195.301770705816</v>
      </c>
      <c r="H24" s="51">
        <f t="shared" si="5"/>
        <v>279.826216833477</v>
      </c>
      <c r="I24" s="51">
        <v>146.5</v>
      </c>
      <c r="J24" s="51">
        <f>I24*$I$3/$I$7</f>
        <v>279.826216833477</v>
      </c>
      <c r="K24" s="77">
        <v>0</v>
      </c>
      <c r="L24" s="51">
        <f>K24*$K$3/$K$7</f>
        <v>0</v>
      </c>
      <c r="M24" s="77">
        <v>0</v>
      </c>
      <c r="N24" s="51">
        <f>M24*$M$3/$M$7</f>
        <v>0</v>
      </c>
      <c r="O24" s="51">
        <f t="shared" si="2"/>
        <v>78.054170619179</v>
      </c>
      <c r="P24" s="85">
        <v>1</v>
      </c>
      <c r="Q24" s="51">
        <f>P24*$P$3/$P$7</f>
        <v>40.3853365384615</v>
      </c>
      <c r="R24" s="85">
        <v>1</v>
      </c>
      <c r="S24" s="51">
        <f>R24*$R$3/$R$7</f>
        <v>37.6688340807175</v>
      </c>
      <c r="T24" s="77">
        <f t="shared" si="3"/>
        <v>582.019217027336</v>
      </c>
      <c r="U24" s="77"/>
      <c r="V24" s="77"/>
      <c r="W24" s="77">
        <v>582</v>
      </c>
    </row>
    <row r="25" s="18" customFormat="true" ht="27.75" hidden="true" customHeight="true" spans="1:23">
      <c r="A25" s="40">
        <v>5</v>
      </c>
      <c r="B25" s="49" t="s">
        <v>25</v>
      </c>
      <c r="C25" s="50">
        <v>34296</v>
      </c>
      <c r="D25" s="51">
        <f>C25*$C$3/$C$7</f>
        <v>40.776604723615</v>
      </c>
      <c r="E25" s="50">
        <v>14846</v>
      </c>
      <c r="F25" s="65">
        <f t="shared" si="6"/>
        <v>0.987987662392305</v>
      </c>
      <c r="G25" s="51">
        <f>F25*$E$3/$F$7</f>
        <v>195.276342641052</v>
      </c>
      <c r="H25" s="51">
        <f t="shared" si="5"/>
        <v>171.90689088746</v>
      </c>
      <c r="I25" s="51">
        <v>90</v>
      </c>
      <c r="J25" s="51">
        <f>I25*$I$3/$I$7</f>
        <v>171.90689088746</v>
      </c>
      <c r="K25" s="77">
        <v>0</v>
      </c>
      <c r="L25" s="51">
        <f>K25*$K$3/$K$7</f>
        <v>0</v>
      </c>
      <c r="M25" s="77">
        <v>0</v>
      </c>
      <c r="N25" s="51">
        <f>M25*$M$3/$M$7</f>
        <v>0</v>
      </c>
      <c r="O25" s="51">
        <f t="shared" si="2"/>
        <v>78.054170619179</v>
      </c>
      <c r="P25" s="85">
        <v>1</v>
      </c>
      <c r="Q25" s="51">
        <f>P25*$P$3/$P$7</f>
        <v>40.3853365384615</v>
      </c>
      <c r="R25" s="85">
        <v>1</v>
      </c>
      <c r="S25" s="51">
        <f>R25*$R$3/$R$7</f>
        <v>37.6688340807175</v>
      </c>
      <c r="T25" s="77">
        <f t="shared" si="3"/>
        <v>486.014008871306</v>
      </c>
      <c r="U25" s="77"/>
      <c r="V25" s="77"/>
      <c r="W25" s="77">
        <v>486</v>
      </c>
    </row>
    <row r="26" s="18" customFormat="true" ht="27.75" hidden="true" customHeight="true" spans="1:23">
      <c r="A26" s="40">
        <v>6</v>
      </c>
      <c r="B26" s="49" t="s">
        <v>26</v>
      </c>
      <c r="C26" s="50">
        <v>84446</v>
      </c>
      <c r="D26" s="51">
        <f>C26*$C$3/$C$7</f>
        <v>100.402996340401</v>
      </c>
      <c r="E26" s="50">
        <v>18751</v>
      </c>
      <c r="F26" s="65">
        <f t="shared" si="6"/>
        <v>0.984828011418436</v>
      </c>
      <c r="G26" s="51">
        <f>F26*$E$3/$F$7</f>
        <v>194.651835767449</v>
      </c>
      <c r="H26" s="51">
        <f t="shared" si="5"/>
        <v>0</v>
      </c>
      <c r="I26" s="51">
        <v>0</v>
      </c>
      <c r="J26" s="51">
        <f>I26*$I$3/$I$7</f>
        <v>0</v>
      </c>
      <c r="K26" s="77">
        <v>0</v>
      </c>
      <c r="L26" s="51">
        <f>K26*$K$3/$K$7</f>
        <v>0</v>
      </c>
      <c r="M26" s="77">
        <v>0</v>
      </c>
      <c r="N26" s="51">
        <f>M26*$M$3/$M$7</f>
        <v>0</v>
      </c>
      <c r="O26" s="51">
        <f t="shared" si="2"/>
        <v>0</v>
      </c>
      <c r="P26" s="85"/>
      <c r="Q26" s="51">
        <f>P26*$P$3/$P$7</f>
        <v>0</v>
      </c>
      <c r="R26" s="85"/>
      <c r="S26" s="51">
        <f>R26*$R$3/$R$7</f>
        <v>0</v>
      </c>
      <c r="T26" s="77">
        <f t="shared" si="3"/>
        <v>295.05483210785</v>
      </c>
      <c r="U26" s="77"/>
      <c r="V26" s="77"/>
      <c r="W26" s="77">
        <v>295</v>
      </c>
    </row>
    <row r="27" s="18" customFormat="true" ht="27.75" hidden="true" customHeight="true" spans="1:23">
      <c r="A27" s="40">
        <v>7</v>
      </c>
      <c r="B27" s="49" t="s">
        <v>27</v>
      </c>
      <c r="C27" s="50">
        <v>71778</v>
      </c>
      <c r="D27" s="51">
        <f>C27*$C$3/$C$7</f>
        <v>85.3412390322965</v>
      </c>
      <c r="E27" s="50">
        <v>19266</v>
      </c>
      <c r="F27" s="65">
        <f t="shared" si="6"/>
        <v>0.984411309689488</v>
      </c>
      <c r="G27" s="51">
        <f>F27*$E$3/$F$7</f>
        <v>194.569474425604</v>
      </c>
      <c r="H27" s="51">
        <f t="shared" si="5"/>
        <v>0</v>
      </c>
      <c r="I27" s="51">
        <v>0</v>
      </c>
      <c r="J27" s="51">
        <f>I27*$I$3/$I$7</f>
        <v>0</v>
      </c>
      <c r="K27" s="77">
        <v>0</v>
      </c>
      <c r="L27" s="51">
        <f>K27*$K$3/$K$7</f>
        <v>0</v>
      </c>
      <c r="M27" s="77">
        <v>0</v>
      </c>
      <c r="N27" s="51">
        <f>M27*$M$3/$M$7</f>
        <v>0</v>
      </c>
      <c r="O27" s="51">
        <f t="shared" si="2"/>
        <v>0</v>
      </c>
      <c r="P27" s="85"/>
      <c r="Q27" s="51">
        <f>P27*$P$3/$P$7</f>
        <v>0</v>
      </c>
      <c r="R27" s="85"/>
      <c r="S27" s="51">
        <f>R27*$R$3/$R$7</f>
        <v>0</v>
      </c>
      <c r="T27" s="77">
        <f t="shared" si="3"/>
        <v>279.9107134579</v>
      </c>
      <c r="U27" s="77"/>
      <c r="V27" s="77"/>
      <c r="W27" s="77">
        <v>280</v>
      </c>
    </row>
    <row r="28" s="19" customFormat="true" ht="27.75" customHeight="true" spans="1:23">
      <c r="A28" s="48" t="s">
        <v>28</v>
      </c>
      <c r="B28" s="48" t="s">
        <v>29</v>
      </c>
      <c r="C28" s="46">
        <f>SUM(C29:C35)</f>
        <v>396709</v>
      </c>
      <c r="D28" s="47">
        <f>SUM(D29:D35)</f>
        <v>471.671509310141</v>
      </c>
      <c r="E28" s="46">
        <f>SUM(E29:E35)</f>
        <v>93210</v>
      </c>
      <c r="F28" s="64">
        <f>SUM(F29:F35)</f>
        <v>6.92458103270825</v>
      </c>
      <c r="G28" s="47">
        <f>SUM(G29:G35)</f>
        <v>1368.64751439775</v>
      </c>
      <c r="H28" s="47">
        <f t="shared" si="5"/>
        <v>2641.56200895917</v>
      </c>
      <c r="I28" s="47">
        <f>I29+I30+I31+I32+I33+I34+I35</f>
        <v>1196.908</v>
      </c>
      <c r="J28" s="47">
        <f>SUM(J29:J35)</f>
        <v>2286.1859217592</v>
      </c>
      <c r="K28" s="46">
        <f>SUM(K29:K35)</f>
        <v>1</v>
      </c>
      <c r="L28" s="47">
        <f>SUM(L29:L35)</f>
        <v>9.30249169435216</v>
      </c>
      <c r="M28" s="76">
        <f>SUM(M29:M35)</f>
        <v>11</v>
      </c>
      <c r="N28" s="47">
        <f>SUM(N29:N35)</f>
        <v>346.073595505618</v>
      </c>
      <c r="O28" s="47">
        <f t="shared" si="2"/>
        <v>520.361137461194</v>
      </c>
      <c r="P28" s="84">
        <f>SUM(P29:P35)</f>
        <v>6.66666666666667</v>
      </c>
      <c r="Q28" s="47">
        <f>SUM(Q29:Q35)</f>
        <v>269.235576923077</v>
      </c>
      <c r="R28" s="84">
        <f>SUM(R29:R35)</f>
        <v>6.66666666666667</v>
      </c>
      <c r="S28" s="47">
        <f>SUM(S29:S35)</f>
        <v>251.125560538117</v>
      </c>
      <c r="T28" s="76">
        <f t="shared" si="3"/>
        <v>5002.24217012826</v>
      </c>
      <c r="U28" s="76"/>
      <c r="V28" s="76"/>
      <c r="W28" s="76">
        <v>5002</v>
      </c>
    </row>
    <row r="29" s="18" customFormat="true" ht="27.75" customHeight="true" spans="1:23">
      <c r="A29" s="40">
        <v>1</v>
      </c>
      <c r="B29" s="49" t="s">
        <v>30</v>
      </c>
      <c r="C29" s="50">
        <v>97164</v>
      </c>
      <c r="D29" s="51">
        <f>C29*$C$3/$C$7</f>
        <v>115.52420169598</v>
      </c>
      <c r="E29" s="50">
        <v>14930</v>
      </c>
      <c r="F29" s="65">
        <f>IF((E29/$E$7)&gt;1,ABS(1-E29/$E$7-1),1-E29/$E$7)</f>
        <v>0.98791969550836</v>
      </c>
      <c r="G29" s="51">
        <f>F29*$E$3/$F$7</f>
        <v>195.26290894646</v>
      </c>
      <c r="H29" s="51">
        <f t="shared" si="5"/>
        <v>216.681779324243</v>
      </c>
      <c r="I29" s="51">
        <v>92.1</v>
      </c>
      <c r="J29" s="51">
        <f>I29*$I$3/$I$7</f>
        <v>175.918051674834</v>
      </c>
      <c r="K29" s="77">
        <v>1</v>
      </c>
      <c r="L29" s="51">
        <f>K29*$K$3/$K$7</f>
        <v>9.30249169435216</v>
      </c>
      <c r="M29" s="77">
        <v>1</v>
      </c>
      <c r="N29" s="51">
        <f>M29*$M$3/$M$7</f>
        <v>31.4612359550562</v>
      </c>
      <c r="O29" s="51">
        <f t="shared" si="2"/>
        <v>78.054170619179</v>
      </c>
      <c r="P29" s="85">
        <v>1</v>
      </c>
      <c r="Q29" s="51">
        <f>P29*$P$3/$P$7</f>
        <v>40.3853365384615</v>
      </c>
      <c r="R29" s="85">
        <v>1</v>
      </c>
      <c r="S29" s="51">
        <f>R29*$R$3/$R$7</f>
        <v>37.6688340807175</v>
      </c>
      <c r="T29" s="77">
        <f t="shared" si="3"/>
        <v>605.523060585862</v>
      </c>
      <c r="U29" s="77"/>
      <c r="V29" s="85"/>
      <c r="W29" s="77">
        <v>606</v>
      </c>
    </row>
    <row r="30" s="18" customFormat="true" ht="27.75" hidden="true" customHeight="true" spans="1:23">
      <c r="A30" s="40">
        <v>2</v>
      </c>
      <c r="B30" s="49" t="s">
        <v>31</v>
      </c>
      <c r="C30" s="50">
        <v>50756</v>
      </c>
      <c r="D30" s="51">
        <f>C30*$C$3/$C$7</f>
        <v>60.3469019521753</v>
      </c>
      <c r="E30" s="50">
        <v>13316</v>
      </c>
      <c r="F30" s="65">
        <f t="shared" ref="F30:F35" si="7">IF((E30/$E$7)&gt;1,ABS(1-E30/$E$7-1),1-E30/$E$7)</f>
        <v>0.989225630635587</v>
      </c>
      <c r="G30" s="51">
        <f>F30*$E$3/$F$7</f>
        <v>195.521027792554</v>
      </c>
      <c r="H30" s="51">
        <f t="shared" si="5"/>
        <v>858.345485429165</v>
      </c>
      <c r="I30" s="51">
        <v>317.608</v>
      </c>
      <c r="J30" s="51">
        <f>I30*$I$3/$I$7</f>
        <v>606.655597788716</v>
      </c>
      <c r="K30" s="77">
        <v>0</v>
      </c>
      <c r="L30" s="51">
        <f>K30*$K$3/$K$7</f>
        <v>0</v>
      </c>
      <c r="M30" s="77">
        <v>8</v>
      </c>
      <c r="N30" s="51">
        <f>M30*$M$3/$M$7</f>
        <v>251.689887640449</v>
      </c>
      <c r="O30" s="51">
        <f t="shared" si="2"/>
        <v>78.054170619179</v>
      </c>
      <c r="P30" s="85">
        <v>1</v>
      </c>
      <c r="Q30" s="51">
        <f>P30*$P$3/$P$7</f>
        <v>40.3853365384615</v>
      </c>
      <c r="R30" s="85">
        <v>1</v>
      </c>
      <c r="S30" s="51">
        <f>R30*$R$3/$R$7</f>
        <v>37.6688340807175</v>
      </c>
      <c r="T30" s="77">
        <f t="shared" si="3"/>
        <v>1192.26758579307</v>
      </c>
      <c r="U30" s="77"/>
      <c r="V30" s="85"/>
      <c r="W30" s="77">
        <v>1192</v>
      </c>
    </row>
    <row r="31" s="18" customFormat="true" ht="27.75" hidden="true" customHeight="true" spans="1:23">
      <c r="A31" s="40">
        <v>3</v>
      </c>
      <c r="B31" s="49" t="s">
        <v>32</v>
      </c>
      <c r="C31" s="50">
        <v>76247</v>
      </c>
      <c r="D31" s="51">
        <f>C31*$C$3/$C$7</f>
        <v>90.654705515555</v>
      </c>
      <c r="E31" s="50">
        <v>12150</v>
      </c>
      <c r="F31" s="65">
        <f t="shared" si="7"/>
        <v>0.990169075715109</v>
      </c>
      <c r="G31" s="51">
        <f>F31*$E$3/$F$7</f>
        <v>195.707500267489</v>
      </c>
      <c r="H31" s="51">
        <f t="shared" si="5"/>
        <v>443.464751115336</v>
      </c>
      <c r="I31" s="51">
        <v>215.7</v>
      </c>
      <c r="J31" s="51">
        <f>I31*$I$3/$I$7</f>
        <v>412.00351516028</v>
      </c>
      <c r="K31" s="77">
        <v>0</v>
      </c>
      <c r="L31" s="51">
        <f>K31*$K$3/$K$7</f>
        <v>0</v>
      </c>
      <c r="M31" s="77">
        <v>1</v>
      </c>
      <c r="N31" s="51">
        <f>M31*$M$3/$M$7</f>
        <v>31.4612359550562</v>
      </c>
      <c r="O31" s="51">
        <f t="shared" si="2"/>
        <v>78.054170619179</v>
      </c>
      <c r="P31" s="85">
        <v>1</v>
      </c>
      <c r="Q31" s="51">
        <f>P31*$P$3/$P$7</f>
        <v>40.3853365384615</v>
      </c>
      <c r="R31" s="85">
        <v>1</v>
      </c>
      <c r="S31" s="51">
        <f>R31*$R$3/$R$7</f>
        <v>37.6688340807175</v>
      </c>
      <c r="T31" s="77">
        <f t="shared" si="3"/>
        <v>807.881127517559</v>
      </c>
      <c r="U31" s="77"/>
      <c r="V31" s="85"/>
      <c r="W31" s="77">
        <v>808</v>
      </c>
    </row>
    <row r="32" s="18" customFormat="true" ht="27.75" hidden="true" customHeight="true" spans="1:23">
      <c r="A32" s="40">
        <v>4</v>
      </c>
      <c r="B32" s="49" t="s">
        <v>33</v>
      </c>
      <c r="C32" s="50">
        <v>35436</v>
      </c>
      <c r="D32" s="51">
        <f>C32*$C$3/$C$7</f>
        <v>42.1320202060305</v>
      </c>
      <c r="E32" s="50">
        <v>15713</v>
      </c>
      <c r="F32" s="65">
        <f t="shared" si="7"/>
        <v>0.987286147054445</v>
      </c>
      <c r="G32" s="51">
        <f>F32*$E$3/$F$7</f>
        <v>195.137687721868</v>
      </c>
      <c r="H32" s="51">
        <f t="shared" si="5"/>
        <v>95.6948359273529</v>
      </c>
      <c r="I32" s="51">
        <v>50.1</v>
      </c>
      <c r="J32" s="51">
        <f>I32*$I$3/$I$7</f>
        <v>95.6948359273529</v>
      </c>
      <c r="K32" s="77">
        <v>0</v>
      </c>
      <c r="L32" s="51">
        <f>K32*$K$3/$K$7</f>
        <v>0</v>
      </c>
      <c r="M32" s="77">
        <v>0</v>
      </c>
      <c r="N32" s="51">
        <f>M32*$M$3/$M$7</f>
        <v>0</v>
      </c>
      <c r="O32" s="51">
        <f t="shared" si="2"/>
        <v>78.054170619179</v>
      </c>
      <c r="P32" s="85">
        <v>1</v>
      </c>
      <c r="Q32" s="51">
        <f>P32*$P$3/$P$7</f>
        <v>40.3853365384615</v>
      </c>
      <c r="R32" s="85">
        <v>1</v>
      </c>
      <c r="S32" s="51">
        <f>R32*$R$3/$R$7</f>
        <v>37.6688340807175</v>
      </c>
      <c r="T32" s="77">
        <f t="shared" si="3"/>
        <v>411.01871447443</v>
      </c>
      <c r="U32" s="77"/>
      <c r="V32" s="85"/>
      <c r="W32" s="77">
        <v>411</v>
      </c>
    </row>
    <row r="33" s="18" customFormat="true" ht="27.75" hidden="true" customHeight="true" spans="1:23">
      <c r="A33" s="40">
        <v>5</v>
      </c>
      <c r="B33" s="49" t="s">
        <v>34</v>
      </c>
      <c r="C33" s="50">
        <v>59919</v>
      </c>
      <c r="D33" s="51">
        <f>C33*$C$3/$C$7</f>
        <v>71.2413511323271</v>
      </c>
      <c r="E33" s="50">
        <v>12576</v>
      </c>
      <c r="F33" s="65">
        <f t="shared" si="7"/>
        <v>0.989824386517959</v>
      </c>
      <c r="G33" s="51">
        <f>F33*$E$3/$F$7</f>
        <v>195.639372244914</v>
      </c>
      <c r="H33" s="51">
        <f t="shared" si="5"/>
        <v>312.815514040866</v>
      </c>
      <c r="I33" s="51">
        <v>147.3</v>
      </c>
      <c r="J33" s="51">
        <f>I33*$I$3/$I$7</f>
        <v>281.35427808581</v>
      </c>
      <c r="K33" s="77">
        <v>0</v>
      </c>
      <c r="L33" s="51">
        <f>K33*$K$3/$K$7</f>
        <v>0</v>
      </c>
      <c r="M33" s="77">
        <v>1</v>
      </c>
      <c r="N33" s="51">
        <f>M33*$M$3/$M$7</f>
        <v>31.4612359550562</v>
      </c>
      <c r="O33" s="51">
        <f t="shared" si="2"/>
        <v>52.0361137461194</v>
      </c>
      <c r="P33" s="85">
        <f>1/1.5</f>
        <v>0.666666666666667</v>
      </c>
      <c r="Q33" s="51">
        <f>P33*$P$3/$P$7</f>
        <v>26.9235576923077</v>
      </c>
      <c r="R33" s="85">
        <f>1/1.5</f>
        <v>0.666666666666667</v>
      </c>
      <c r="S33" s="51">
        <f>R33*$R$3/$R$7</f>
        <v>25.1125560538117</v>
      </c>
      <c r="T33" s="77">
        <f t="shared" si="3"/>
        <v>631.732351164227</v>
      </c>
      <c r="U33" s="77"/>
      <c r="V33" s="85"/>
      <c r="W33" s="77">
        <v>632</v>
      </c>
    </row>
    <row r="34" s="18" customFormat="true" ht="27.75" hidden="true" customHeight="true" spans="1:23">
      <c r="A34" s="40">
        <v>6</v>
      </c>
      <c r="B34" s="49" t="s">
        <v>35</v>
      </c>
      <c r="C34" s="50">
        <v>51666</v>
      </c>
      <c r="D34" s="51">
        <f>C34*$C$3/$C$7</f>
        <v>61.4288564162087</v>
      </c>
      <c r="E34" s="50">
        <v>13445</v>
      </c>
      <c r="F34" s="65">
        <f t="shared" si="7"/>
        <v>0.989121252920958</v>
      </c>
      <c r="G34" s="51">
        <f>F34*$E$3/$F$7</f>
        <v>195.500397475858</v>
      </c>
      <c r="H34" s="51">
        <f t="shared" si="5"/>
        <v>495.473861068969</v>
      </c>
      <c r="I34" s="51">
        <v>259.4</v>
      </c>
      <c r="J34" s="51">
        <f>I34*$I$3/$I$7</f>
        <v>495.473861068969</v>
      </c>
      <c r="K34" s="77">
        <v>0</v>
      </c>
      <c r="L34" s="51">
        <f>K34*$K$3/$K$7</f>
        <v>0</v>
      </c>
      <c r="M34" s="77">
        <v>0</v>
      </c>
      <c r="N34" s="51">
        <f>M34*$M$3/$M$7</f>
        <v>0</v>
      </c>
      <c r="O34" s="51">
        <f t="shared" si="2"/>
        <v>78.054170619179</v>
      </c>
      <c r="P34" s="85">
        <v>1</v>
      </c>
      <c r="Q34" s="51">
        <f>P34*$P$3/$P$7</f>
        <v>40.3853365384615</v>
      </c>
      <c r="R34" s="85">
        <v>1</v>
      </c>
      <c r="S34" s="51">
        <f>R34*$R$3/$R$7</f>
        <v>37.6688340807175</v>
      </c>
      <c r="T34" s="77">
        <f t="shared" si="3"/>
        <v>830.457285580214</v>
      </c>
      <c r="U34" s="77"/>
      <c r="V34" s="77"/>
      <c r="W34" s="77">
        <v>830</v>
      </c>
    </row>
    <row r="35" s="18" customFormat="true" ht="27.75" hidden="true" customHeight="true" spans="1:23">
      <c r="A35" s="40">
        <v>7</v>
      </c>
      <c r="B35" s="49" t="s">
        <v>36</v>
      </c>
      <c r="C35" s="50">
        <v>25521</v>
      </c>
      <c r="D35" s="51">
        <f>C35*$C$3/$C$7</f>
        <v>30.3434723918643</v>
      </c>
      <c r="E35" s="50">
        <v>11080</v>
      </c>
      <c r="F35" s="65">
        <f t="shared" si="7"/>
        <v>0.991034844355836</v>
      </c>
      <c r="G35" s="51">
        <f>F35*$E$3/$F$7</f>
        <v>195.878619948604</v>
      </c>
      <c r="H35" s="51">
        <f t="shared" si="5"/>
        <v>219.085782053241</v>
      </c>
      <c r="I35" s="51">
        <v>114.7</v>
      </c>
      <c r="J35" s="51">
        <f>I35*$I$3/$I$7</f>
        <v>219.085782053241</v>
      </c>
      <c r="K35" s="77">
        <v>0</v>
      </c>
      <c r="L35" s="51">
        <f>K35*$K$3/$K$7</f>
        <v>0</v>
      </c>
      <c r="M35" s="77">
        <v>0</v>
      </c>
      <c r="N35" s="51">
        <f>M35*$M$3/$M$7</f>
        <v>0</v>
      </c>
      <c r="O35" s="51">
        <f t="shared" si="2"/>
        <v>78.054170619179</v>
      </c>
      <c r="P35" s="85">
        <v>1</v>
      </c>
      <c r="Q35" s="51">
        <f>P35*$P$3/$P$7</f>
        <v>40.3853365384615</v>
      </c>
      <c r="R35" s="85">
        <v>1</v>
      </c>
      <c r="S35" s="51">
        <f>R35*$R$3/$R$7</f>
        <v>37.6688340807175</v>
      </c>
      <c r="T35" s="77">
        <f t="shared" si="3"/>
        <v>523.362045012888</v>
      </c>
      <c r="U35" s="77"/>
      <c r="V35" s="77"/>
      <c r="W35" s="77">
        <v>523</v>
      </c>
    </row>
    <row r="36" s="19" customFormat="true" ht="27.75" hidden="true" customHeight="true" spans="1:23">
      <c r="A36" s="48" t="s">
        <v>37</v>
      </c>
      <c r="B36" s="45" t="s">
        <v>38</v>
      </c>
      <c r="C36" s="46">
        <f>SUM(C37:C40)</f>
        <v>126709</v>
      </c>
      <c r="D36" s="52">
        <f>SUM(D37:D40)</f>
        <v>150.652052948581</v>
      </c>
      <c r="E36" s="46">
        <f>SUM(E37:E40)</f>
        <v>48321</v>
      </c>
      <c r="F36" s="64">
        <f>SUM(F37:F40)</f>
        <v>2.96090205001068</v>
      </c>
      <c r="G36" s="47">
        <f>SUM(G37:G40)</f>
        <v>585.224031891699</v>
      </c>
      <c r="H36" s="47">
        <f t="shared" si="5"/>
        <v>824.113908762085</v>
      </c>
      <c r="I36" s="47">
        <f t="shared" ref="I36:R36" si="8">SUM(I37:I40)</f>
        <v>349.1</v>
      </c>
      <c r="J36" s="47">
        <f t="shared" si="8"/>
        <v>666.807728986804</v>
      </c>
      <c r="K36" s="46">
        <f t="shared" si="8"/>
        <v>0</v>
      </c>
      <c r="L36" s="47">
        <f t="shared" si="8"/>
        <v>0</v>
      </c>
      <c r="M36" s="76">
        <f t="shared" si="8"/>
        <v>5</v>
      </c>
      <c r="N36" s="47">
        <f t="shared" si="8"/>
        <v>157.306179775281</v>
      </c>
      <c r="O36" s="47">
        <f t="shared" si="2"/>
        <v>208.144454984477</v>
      </c>
      <c r="P36" s="84">
        <f>SUM(P37:P40)</f>
        <v>2.66666666666667</v>
      </c>
      <c r="Q36" s="47">
        <f>SUM(Q37:Q40)</f>
        <v>107.694230769231</v>
      </c>
      <c r="R36" s="84">
        <f>SUM(R37:R40)</f>
        <v>2.66666666666667</v>
      </c>
      <c r="S36" s="47">
        <f>SUM(S37:S40)</f>
        <v>100.450224215247</v>
      </c>
      <c r="T36" s="76">
        <f t="shared" si="3"/>
        <v>1768.13444858684</v>
      </c>
      <c r="U36" s="76"/>
      <c r="V36" s="76"/>
      <c r="W36" s="76">
        <v>1768</v>
      </c>
    </row>
    <row r="37" s="18" customFormat="true" ht="27.75" hidden="true" customHeight="true" spans="1:23">
      <c r="A37" s="40">
        <v>1</v>
      </c>
      <c r="B37" s="49" t="s">
        <v>39</v>
      </c>
      <c r="C37" s="50">
        <v>94095</v>
      </c>
      <c r="D37" s="51">
        <f>C37*$C$3/$C$7</f>
        <v>111.875280542004</v>
      </c>
      <c r="E37" s="50">
        <v>18111</v>
      </c>
      <c r="F37" s="65">
        <f t="shared" ref="F37:F42" si="9">IF((E37/$E$7)&gt;1,ABS(1-E37/$E$7-1),1-E37/$E$7)</f>
        <v>0.985345854343731</v>
      </c>
      <c r="G37" s="51">
        <f>F37*$E$3/$F$7</f>
        <v>194.754187726247</v>
      </c>
      <c r="H37" s="51">
        <f t="shared" si="5"/>
        <v>266.34562612694</v>
      </c>
      <c r="I37" s="51">
        <v>106.5</v>
      </c>
      <c r="J37" s="51">
        <f>I37*$I$3/$I$7</f>
        <v>203.423154216828</v>
      </c>
      <c r="K37" s="77">
        <v>0</v>
      </c>
      <c r="L37" s="51">
        <f>K37*$K$3/$K$7</f>
        <v>0</v>
      </c>
      <c r="M37" s="77">
        <v>2</v>
      </c>
      <c r="N37" s="51">
        <f>M37*$M$3/$M$7</f>
        <v>62.9224719101124</v>
      </c>
      <c r="O37" s="51">
        <f t="shared" si="2"/>
        <v>78.054170619179</v>
      </c>
      <c r="P37" s="85">
        <v>1</v>
      </c>
      <c r="Q37" s="51">
        <f>P37*$P$3/$P$7</f>
        <v>40.3853365384615</v>
      </c>
      <c r="R37" s="85">
        <v>1</v>
      </c>
      <c r="S37" s="51">
        <f>R37*$R$3/$R$7</f>
        <v>37.6688340807175</v>
      </c>
      <c r="T37" s="77">
        <f t="shared" si="3"/>
        <v>651.02926501437</v>
      </c>
      <c r="U37" s="77"/>
      <c r="V37" s="85"/>
      <c r="W37" s="77">
        <v>651</v>
      </c>
    </row>
    <row r="38" s="18" customFormat="true" ht="27.75" hidden="true" customHeight="true" spans="1:23">
      <c r="A38" s="40">
        <v>2</v>
      </c>
      <c r="B38" s="49" t="s">
        <v>40</v>
      </c>
      <c r="C38" s="50">
        <v>0</v>
      </c>
      <c r="D38" s="51">
        <v>0</v>
      </c>
      <c r="E38" s="40"/>
      <c r="F38" s="65">
        <v>0</v>
      </c>
      <c r="G38" s="51">
        <f>F38*$E$3/$F$7</f>
        <v>0</v>
      </c>
      <c r="H38" s="51">
        <f t="shared" si="5"/>
        <v>0</v>
      </c>
      <c r="I38" s="51">
        <v>0</v>
      </c>
      <c r="J38" s="51">
        <f>I38*$I$3/$I$7</f>
        <v>0</v>
      </c>
      <c r="K38" s="77">
        <v>0</v>
      </c>
      <c r="L38" s="51">
        <f>K38*$K$3/$K$7</f>
        <v>0</v>
      </c>
      <c r="M38" s="77">
        <v>0</v>
      </c>
      <c r="N38" s="51">
        <f>M38*$M$3/$M$7</f>
        <v>0</v>
      </c>
      <c r="O38" s="51">
        <f t="shared" si="2"/>
        <v>0</v>
      </c>
      <c r="P38" s="85"/>
      <c r="Q38" s="51">
        <f>P38*$P$3/$P$7</f>
        <v>0</v>
      </c>
      <c r="R38" s="85"/>
      <c r="S38" s="51">
        <f>R38*$R$3/$R$7</f>
        <v>0</v>
      </c>
      <c r="T38" s="77">
        <f t="shared" si="3"/>
        <v>0</v>
      </c>
      <c r="U38" s="77"/>
      <c r="V38" s="77"/>
      <c r="W38" s="77">
        <v>0</v>
      </c>
    </row>
    <row r="39" s="18" customFormat="true" ht="27.75" hidden="true" customHeight="true" spans="1:23">
      <c r="A39" s="40">
        <v>3</v>
      </c>
      <c r="B39" s="49" t="s">
        <v>41</v>
      </c>
      <c r="C39" s="50">
        <v>385</v>
      </c>
      <c r="D39" s="51">
        <f>C39*$C$3/$C$7</f>
        <v>0.457749965552595</v>
      </c>
      <c r="E39" s="50">
        <v>12637</v>
      </c>
      <c r="F39" s="65">
        <f t="shared" si="9"/>
        <v>0.989775029614142</v>
      </c>
      <c r="G39" s="51">
        <f>F39*$E$3/$F$7</f>
        <v>195.629616823841</v>
      </c>
      <c r="H39" s="51">
        <f t="shared" si="5"/>
        <v>557.768282635145</v>
      </c>
      <c r="I39" s="51">
        <v>242.6</v>
      </c>
      <c r="J39" s="51">
        <f>I39*$I$3/$I$7</f>
        <v>463.384574769976</v>
      </c>
      <c r="K39" s="77">
        <v>0</v>
      </c>
      <c r="L39" s="51">
        <f>K39*$K$3/$K$7</f>
        <v>0</v>
      </c>
      <c r="M39" s="77">
        <v>3</v>
      </c>
      <c r="N39" s="51">
        <f>M39*$M$3/$M$7</f>
        <v>94.3837078651686</v>
      </c>
      <c r="O39" s="51">
        <f t="shared" si="2"/>
        <v>78.054170619179</v>
      </c>
      <c r="P39" s="85">
        <v>1</v>
      </c>
      <c r="Q39" s="51">
        <f>P39*$P$3/$P$7</f>
        <v>40.3853365384615</v>
      </c>
      <c r="R39" s="85">
        <v>1</v>
      </c>
      <c r="S39" s="51">
        <f>R39*$R$3/$R$7</f>
        <v>37.6688340807175</v>
      </c>
      <c r="T39" s="77">
        <f t="shared" si="3"/>
        <v>831.909820043717</v>
      </c>
      <c r="U39" s="77"/>
      <c r="V39" s="77"/>
      <c r="W39" s="77">
        <v>832</v>
      </c>
    </row>
    <row r="40" s="18" customFormat="true" ht="27.75" hidden="true" customHeight="true" spans="1:23">
      <c r="A40" s="40">
        <v>4</v>
      </c>
      <c r="B40" s="49" t="s">
        <v>42</v>
      </c>
      <c r="C40" s="50">
        <v>32229</v>
      </c>
      <c r="D40" s="51">
        <f>C40*$C$3/$C$7</f>
        <v>38.3190224410249</v>
      </c>
      <c r="E40" s="50">
        <v>17573</v>
      </c>
      <c r="F40" s="65">
        <f t="shared" si="9"/>
        <v>0.985781166052807</v>
      </c>
      <c r="G40" s="51">
        <f>F40*$E$3/$F$7</f>
        <v>194.840227341611</v>
      </c>
      <c r="H40" s="51">
        <f t="shared" si="5"/>
        <v>0</v>
      </c>
      <c r="I40" s="51">
        <v>0</v>
      </c>
      <c r="J40" s="51">
        <f>I40*$I$3/$I$7</f>
        <v>0</v>
      </c>
      <c r="K40" s="77">
        <v>0</v>
      </c>
      <c r="L40" s="51">
        <f>K40*$K$3/$K$7</f>
        <v>0</v>
      </c>
      <c r="M40" s="77">
        <v>0</v>
      </c>
      <c r="N40" s="51">
        <f>M40*$M$3/$M$7</f>
        <v>0</v>
      </c>
      <c r="O40" s="51">
        <f t="shared" ref="O40:O71" si="10">Q40+S40</f>
        <v>52.0361137461194</v>
      </c>
      <c r="P40" s="85">
        <f>1/1.5</f>
        <v>0.666666666666667</v>
      </c>
      <c r="Q40" s="51">
        <f>P40*$P$3/$P$7</f>
        <v>26.9235576923077</v>
      </c>
      <c r="R40" s="85">
        <f>1/1.5</f>
        <v>0.666666666666667</v>
      </c>
      <c r="S40" s="51">
        <f>R40*$R$3/$R$7</f>
        <v>25.1125560538117</v>
      </c>
      <c r="T40" s="77">
        <f t="shared" si="3"/>
        <v>285.195363528755</v>
      </c>
      <c r="U40" s="77"/>
      <c r="V40" s="77"/>
      <c r="W40" s="77">
        <v>285</v>
      </c>
    </row>
    <row r="41" s="19" customFormat="true" ht="27.75" customHeight="true" spans="1:23">
      <c r="A41" s="48" t="s">
        <v>43</v>
      </c>
      <c r="B41" s="48" t="s">
        <v>44</v>
      </c>
      <c r="C41" s="46">
        <f>SUM(C42:C48)</f>
        <v>386387</v>
      </c>
      <c r="D41" s="47">
        <f>SUM(D42:D48)</f>
        <v>459.399054389534</v>
      </c>
      <c r="E41" s="46">
        <f>SUM(E42:E48)</f>
        <v>136833</v>
      </c>
      <c r="F41" s="64">
        <f>SUM(F42:F48)</f>
        <v>6.88928437344243</v>
      </c>
      <c r="G41" s="47">
        <f>SUM(G42:G48)</f>
        <v>1361.67110893111</v>
      </c>
      <c r="H41" s="47">
        <f t="shared" ref="H41:H72" si="11">J41+L41+N41</f>
        <v>581.875961815349</v>
      </c>
      <c r="I41" s="47">
        <f>I42+I43</f>
        <v>226</v>
      </c>
      <c r="J41" s="47">
        <f>SUM(J42:J48)</f>
        <v>431.677303784067</v>
      </c>
      <c r="K41" s="46">
        <f>SUM(K42:K48)</f>
        <v>6</v>
      </c>
      <c r="L41" s="47">
        <f>SUM(L42:L48)</f>
        <v>55.814950166113</v>
      </c>
      <c r="M41" s="76">
        <f>SUM(M42:M48)</f>
        <v>3</v>
      </c>
      <c r="N41" s="47">
        <f>SUM(N42:N48)</f>
        <v>94.3837078651685</v>
      </c>
      <c r="O41" s="47">
        <f t="shared" si="10"/>
        <v>312.216682476716</v>
      </c>
      <c r="P41" s="84">
        <f>SUM(P42:P48)</f>
        <v>4</v>
      </c>
      <c r="Q41" s="47">
        <f>SUM(Q42:Q48)</f>
        <v>161.541346153846</v>
      </c>
      <c r="R41" s="84">
        <f>SUM(R42:R48)</f>
        <v>4</v>
      </c>
      <c r="S41" s="47">
        <f>SUM(S42:S48)</f>
        <v>150.67533632287</v>
      </c>
      <c r="T41" s="76">
        <f t="shared" si="3"/>
        <v>2715.16280761271</v>
      </c>
      <c r="U41" s="76"/>
      <c r="V41" s="76"/>
      <c r="W41" s="76">
        <v>2715</v>
      </c>
    </row>
    <row r="42" s="18" customFormat="true" ht="27.75" customHeight="true" spans="1:23">
      <c r="A42" s="40">
        <v>1</v>
      </c>
      <c r="B42" s="49" t="s">
        <v>45</v>
      </c>
      <c r="C42" s="50">
        <v>45201</v>
      </c>
      <c r="D42" s="51">
        <f>C42*$C$3/$C$7</f>
        <v>53.7422238777736</v>
      </c>
      <c r="E42" s="50">
        <v>18610</v>
      </c>
      <c r="F42" s="65">
        <f t="shared" si="9"/>
        <v>0.984942098687915</v>
      </c>
      <c r="G42" s="51">
        <f>F42*$E$3/$F$7</f>
        <v>194.674385183371</v>
      </c>
      <c r="H42" s="51">
        <f t="shared" si="11"/>
        <v>303.590263050681</v>
      </c>
      <c r="I42" s="51">
        <v>137.6</v>
      </c>
      <c r="J42" s="51">
        <f>I42*$I$3/$I$7</f>
        <v>262.826535401273</v>
      </c>
      <c r="K42" s="77">
        <v>1</v>
      </c>
      <c r="L42" s="51">
        <f>K42*$K$3/$K$7</f>
        <v>9.30249169435216</v>
      </c>
      <c r="M42" s="77">
        <v>1</v>
      </c>
      <c r="N42" s="51">
        <f>M42*$M$3/$M$7</f>
        <v>31.4612359550562</v>
      </c>
      <c r="O42" s="51">
        <f t="shared" si="10"/>
        <v>78.054170619179</v>
      </c>
      <c r="P42" s="85">
        <v>1</v>
      </c>
      <c r="Q42" s="51">
        <f>P42*$P$3/$P$7</f>
        <v>40.3853365384615</v>
      </c>
      <c r="R42" s="85">
        <v>1</v>
      </c>
      <c r="S42" s="51">
        <f>R42*$R$3/$R$7</f>
        <v>37.6688340807175</v>
      </c>
      <c r="T42" s="77">
        <f t="shared" si="3"/>
        <v>630.061042731005</v>
      </c>
      <c r="U42" s="77"/>
      <c r="V42" s="77"/>
      <c r="W42" s="77">
        <v>630</v>
      </c>
    </row>
    <row r="43" s="18" customFormat="true" ht="27.75" customHeight="true" spans="1:23">
      <c r="A43" s="40">
        <v>2</v>
      </c>
      <c r="B43" s="49" t="s">
        <v>46</v>
      </c>
      <c r="C43" s="50">
        <v>33202</v>
      </c>
      <c r="D43" s="51">
        <f>C43*$C$3/$C$7</f>
        <v>39.475881444876</v>
      </c>
      <c r="E43" s="50">
        <v>16502</v>
      </c>
      <c r="F43" s="65">
        <f t="shared" ref="F43:F48" si="12">IF((E43/$E$7)&gt;1,ABS(1-E43/$E$7-1),1-E43/$E$7)</f>
        <v>0.986647743823105</v>
      </c>
      <c r="G43" s="51">
        <f>F43*$E$3/$F$7</f>
        <v>195.011506947662</v>
      </c>
      <c r="H43" s="51">
        <f t="shared" si="11"/>
        <v>228.219479420907</v>
      </c>
      <c r="I43" s="51">
        <v>88.4</v>
      </c>
      <c r="J43" s="51">
        <f>I43*$I$3/$I$7</f>
        <v>168.850768382794</v>
      </c>
      <c r="K43" s="77">
        <v>3</v>
      </c>
      <c r="L43" s="51">
        <f>K43*$K$3/$K$7</f>
        <v>27.9074750830565</v>
      </c>
      <c r="M43" s="77">
        <v>1</v>
      </c>
      <c r="N43" s="51">
        <f>M43*$M$3/$M$7</f>
        <v>31.4612359550562</v>
      </c>
      <c r="O43" s="51">
        <f t="shared" si="10"/>
        <v>78.054170619179</v>
      </c>
      <c r="P43" s="85">
        <v>1</v>
      </c>
      <c r="Q43" s="51">
        <f>P43*$P$3/$P$7</f>
        <v>40.3853365384615</v>
      </c>
      <c r="R43" s="85">
        <v>1</v>
      </c>
      <c r="S43" s="51">
        <f>R43*$R$3/$R$7</f>
        <v>37.6688340807175</v>
      </c>
      <c r="T43" s="77">
        <f t="shared" si="3"/>
        <v>540.761038432624</v>
      </c>
      <c r="U43" s="77"/>
      <c r="V43" s="77"/>
      <c r="W43" s="77">
        <v>541</v>
      </c>
    </row>
    <row r="44" s="18" customFormat="true" ht="27.75" hidden="true" customHeight="true" spans="1:23">
      <c r="A44" s="40">
        <v>3</v>
      </c>
      <c r="B44" s="49" t="s">
        <v>47</v>
      </c>
      <c r="C44" s="50">
        <v>104669</v>
      </c>
      <c r="D44" s="51">
        <f>C44*$C$3/$C$7</f>
        <v>124.447353621882</v>
      </c>
      <c r="E44" s="50">
        <v>20224</v>
      </c>
      <c r="F44" s="65">
        <f t="shared" si="12"/>
        <v>0.983636163560688</v>
      </c>
      <c r="G44" s="51">
        <f>F44*$E$3/$F$7</f>
        <v>194.416266337278</v>
      </c>
      <c r="H44" s="51">
        <f t="shared" si="11"/>
        <v>0</v>
      </c>
      <c r="I44" s="51">
        <v>0</v>
      </c>
      <c r="J44" s="51">
        <f>I44*$I$3/$I$7</f>
        <v>0</v>
      </c>
      <c r="K44" s="77">
        <v>0</v>
      </c>
      <c r="L44" s="51">
        <f>K44*$K$3/$K$7</f>
        <v>0</v>
      </c>
      <c r="M44" s="77">
        <v>0</v>
      </c>
      <c r="N44" s="51">
        <f>M44*$M$3/$M$7</f>
        <v>0</v>
      </c>
      <c r="O44" s="51">
        <f t="shared" si="10"/>
        <v>0</v>
      </c>
      <c r="P44" s="85"/>
      <c r="Q44" s="51">
        <f>P44*$P$3/$P$7</f>
        <v>0</v>
      </c>
      <c r="R44" s="85"/>
      <c r="S44" s="51">
        <f>R44*$R$3/$R$7</f>
        <v>0</v>
      </c>
      <c r="T44" s="77">
        <f t="shared" si="3"/>
        <v>318.86361995916</v>
      </c>
      <c r="U44" s="77"/>
      <c r="V44" s="77"/>
      <c r="W44" s="77">
        <v>319</v>
      </c>
    </row>
    <row r="45" s="18" customFormat="true" ht="27.75" hidden="true" customHeight="true" spans="1:23">
      <c r="A45" s="40">
        <v>4</v>
      </c>
      <c r="B45" s="49" t="s">
        <v>48</v>
      </c>
      <c r="C45" s="50">
        <v>50920</v>
      </c>
      <c r="D45" s="51">
        <f>C45*$C$3/$C$7</f>
        <v>60.5418915478912</v>
      </c>
      <c r="E45" s="50">
        <v>19633</v>
      </c>
      <c r="F45" s="65">
        <f t="shared" si="12"/>
        <v>0.984114359137015</v>
      </c>
      <c r="G45" s="51">
        <f>F45*$E$3/$F$7</f>
        <v>194.51078197423</v>
      </c>
      <c r="H45" s="51">
        <f t="shared" si="11"/>
        <v>0</v>
      </c>
      <c r="I45" s="51">
        <v>0</v>
      </c>
      <c r="J45" s="51">
        <f>I45*$I$3/$I$7</f>
        <v>0</v>
      </c>
      <c r="K45" s="77">
        <v>0</v>
      </c>
      <c r="L45" s="51">
        <f>K45*$K$3/$K$7</f>
        <v>0</v>
      </c>
      <c r="M45" s="77">
        <v>0</v>
      </c>
      <c r="N45" s="51">
        <f>M45*$M$3/$M$7</f>
        <v>0</v>
      </c>
      <c r="O45" s="51">
        <f t="shared" si="10"/>
        <v>78.054170619179</v>
      </c>
      <c r="P45" s="85">
        <v>1</v>
      </c>
      <c r="Q45" s="51">
        <f>P45*$P$3/$P$7</f>
        <v>40.3853365384615</v>
      </c>
      <c r="R45" s="85">
        <v>1</v>
      </c>
      <c r="S45" s="51">
        <f>R45*$R$3/$R$7</f>
        <v>37.6688340807175</v>
      </c>
      <c r="T45" s="77">
        <f t="shared" si="3"/>
        <v>333.1068441413</v>
      </c>
      <c r="U45" s="77"/>
      <c r="V45" s="77"/>
      <c r="W45" s="77">
        <v>333</v>
      </c>
    </row>
    <row r="46" s="18" customFormat="true" ht="27.75" hidden="true" customHeight="true" spans="1:23">
      <c r="A46" s="40">
        <v>5</v>
      </c>
      <c r="B46" s="49" t="s">
        <v>49</v>
      </c>
      <c r="C46" s="50">
        <v>52240</v>
      </c>
      <c r="D46" s="51">
        <f>C46*$C$3/$C$7</f>
        <v>62.1113200012144</v>
      </c>
      <c r="E46" s="50">
        <v>20920</v>
      </c>
      <c r="F46" s="65">
        <f t="shared" si="12"/>
        <v>0.98307300937943</v>
      </c>
      <c r="G46" s="51">
        <f>F46*$E$3/$F$7</f>
        <v>194.304958582085</v>
      </c>
      <c r="H46" s="51">
        <f t="shared" si="11"/>
        <v>0</v>
      </c>
      <c r="I46" s="51">
        <v>0</v>
      </c>
      <c r="J46" s="51">
        <f>I46*$I$3/$I$7</f>
        <v>0</v>
      </c>
      <c r="K46" s="77">
        <v>0</v>
      </c>
      <c r="L46" s="51">
        <f>K46*$K$3/$K$7</f>
        <v>0</v>
      </c>
      <c r="M46" s="77">
        <v>0</v>
      </c>
      <c r="N46" s="51">
        <f>M46*$M$3/$M$7</f>
        <v>0</v>
      </c>
      <c r="O46" s="51">
        <f t="shared" si="10"/>
        <v>0</v>
      </c>
      <c r="P46" s="85"/>
      <c r="Q46" s="51">
        <f>P46*$P$3/$P$7</f>
        <v>0</v>
      </c>
      <c r="R46" s="85"/>
      <c r="S46" s="51">
        <f>R46*$R$3/$R$7</f>
        <v>0</v>
      </c>
      <c r="T46" s="77">
        <f t="shared" si="3"/>
        <v>256.416278583299</v>
      </c>
      <c r="U46" s="77"/>
      <c r="V46" s="77"/>
      <c r="W46" s="77">
        <v>256</v>
      </c>
    </row>
    <row r="47" s="18" customFormat="true" ht="27.75" hidden="true" customHeight="true" spans="1:23">
      <c r="A47" s="40">
        <v>6</v>
      </c>
      <c r="B47" s="49" t="s">
        <v>50</v>
      </c>
      <c r="C47" s="50">
        <v>34191</v>
      </c>
      <c r="D47" s="51">
        <f>C47*$C$3/$C$7</f>
        <v>40.6517638239189</v>
      </c>
      <c r="E47" s="50">
        <v>22408</v>
      </c>
      <c r="F47" s="65">
        <f t="shared" si="12"/>
        <v>0.98186902457812</v>
      </c>
      <c r="G47" s="51">
        <f>F47*$E$3/$F$7</f>
        <v>194.06699027788</v>
      </c>
      <c r="H47" s="51">
        <f t="shared" si="11"/>
        <v>31.4612359550562</v>
      </c>
      <c r="I47" s="51">
        <v>0</v>
      </c>
      <c r="J47" s="51">
        <f>I47*$I$3/$I$7</f>
        <v>0</v>
      </c>
      <c r="K47" s="77">
        <v>0</v>
      </c>
      <c r="L47" s="51">
        <f>K47*$K$3/$K$7</f>
        <v>0</v>
      </c>
      <c r="M47" s="77">
        <v>1</v>
      </c>
      <c r="N47" s="51">
        <f>M47*$M$3/$M$7</f>
        <v>31.4612359550562</v>
      </c>
      <c r="O47" s="51">
        <f t="shared" si="10"/>
        <v>0</v>
      </c>
      <c r="P47" s="85"/>
      <c r="Q47" s="51">
        <f>P47*$P$3/$P$7</f>
        <v>0</v>
      </c>
      <c r="R47" s="85"/>
      <c r="S47" s="51">
        <f>R47*$R$3/$R$7</f>
        <v>0</v>
      </c>
      <c r="T47" s="77">
        <f t="shared" si="3"/>
        <v>266.179990056855</v>
      </c>
      <c r="U47" s="77"/>
      <c r="V47" s="77"/>
      <c r="W47" s="77">
        <v>266</v>
      </c>
    </row>
    <row r="48" s="18" customFormat="true" ht="27.75" customHeight="true" spans="1:23">
      <c r="A48" s="40">
        <v>7</v>
      </c>
      <c r="B48" s="49" t="s">
        <v>51</v>
      </c>
      <c r="C48" s="50">
        <v>65964</v>
      </c>
      <c r="D48" s="51">
        <f>C48*$C$3/$C$7</f>
        <v>78.4286200719776</v>
      </c>
      <c r="E48" s="50">
        <v>18536</v>
      </c>
      <c r="F48" s="65">
        <f t="shared" si="12"/>
        <v>0.985001974276153</v>
      </c>
      <c r="G48" s="51">
        <f>F48*$E$3/$F$7</f>
        <v>194.686219628608</v>
      </c>
      <c r="H48" s="51">
        <f t="shared" si="11"/>
        <v>18.6049833887043</v>
      </c>
      <c r="I48" s="51">
        <v>0</v>
      </c>
      <c r="J48" s="51">
        <f>I48*$I$3/$I$7</f>
        <v>0</v>
      </c>
      <c r="K48" s="77">
        <v>2</v>
      </c>
      <c r="L48" s="51">
        <f>K48*$K$3/$K$7</f>
        <v>18.6049833887043</v>
      </c>
      <c r="M48" s="77">
        <v>0</v>
      </c>
      <c r="N48" s="51">
        <f>M48*$M$3/$M$7</f>
        <v>0</v>
      </c>
      <c r="O48" s="51">
        <f t="shared" si="10"/>
        <v>78.054170619179</v>
      </c>
      <c r="P48" s="85">
        <v>1</v>
      </c>
      <c r="Q48" s="51">
        <f>P48*$P$3/$P$7</f>
        <v>40.3853365384615</v>
      </c>
      <c r="R48" s="85">
        <v>1</v>
      </c>
      <c r="S48" s="51">
        <f>R48*$R$3/$R$7</f>
        <v>37.6688340807175</v>
      </c>
      <c r="T48" s="77">
        <f t="shared" si="3"/>
        <v>369.773993708469</v>
      </c>
      <c r="U48" s="77"/>
      <c r="V48" s="77"/>
      <c r="W48" s="77">
        <v>370</v>
      </c>
    </row>
    <row r="49" s="19" customFormat="true" ht="27.75" hidden="true" customHeight="true" spans="1:23">
      <c r="A49" s="48" t="s">
        <v>52</v>
      </c>
      <c r="B49" s="48" t="s">
        <v>53</v>
      </c>
      <c r="C49" s="44">
        <f>C50+C51</f>
        <v>52111</v>
      </c>
      <c r="D49" s="52">
        <f>D50+D51</f>
        <v>61.9579440387306</v>
      </c>
      <c r="E49" s="44">
        <f>E50+E51</f>
        <v>63540</v>
      </c>
      <c r="F49" s="66">
        <f>F50+F51</f>
        <v>1.94858790707309</v>
      </c>
      <c r="G49" s="52">
        <f>G50+G51</f>
        <v>385.139546061176</v>
      </c>
      <c r="H49" s="47">
        <f t="shared" si="11"/>
        <v>62.9224719101124</v>
      </c>
      <c r="I49" s="52">
        <f t="shared" ref="I49:R49" si="13">I50+I51</f>
        <v>0</v>
      </c>
      <c r="J49" s="52">
        <f t="shared" si="13"/>
        <v>0</v>
      </c>
      <c r="K49" s="78">
        <f t="shared" si="13"/>
        <v>0</v>
      </c>
      <c r="L49" s="52">
        <f t="shared" si="13"/>
        <v>0</v>
      </c>
      <c r="M49" s="78">
        <f t="shared" si="13"/>
        <v>2</v>
      </c>
      <c r="N49" s="52">
        <f t="shared" si="13"/>
        <v>62.9224719101124</v>
      </c>
      <c r="O49" s="47">
        <f t="shared" si="10"/>
        <v>0</v>
      </c>
      <c r="P49" s="86">
        <f>P50+P51</f>
        <v>0</v>
      </c>
      <c r="Q49" s="52">
        <f>Q50+Q51</f>
        <v>0</v>
      </c>
      <c r="R49" s="86">
        <f>R50+R51</f>
        <v>0</v>
      </c>
      <c r="S49" s="52">
        <f>S50+S51</f>
        <v>0</v>
      </c>
      <c r="T49" s="76">
        <f t="shared" si="3"/>
        <v>510.019962010019</v>
      </c>
      <c r="U49" s="78"/>
      <c r="V49" s="78"/>
      <c r="W49" s="76">
        <v>510</v>
      </c>
    </row>
    <row r="50" s="18" customFormat="true" ht="27.75" hidden="true" customHeight="true" spans="1:23">
      <c r="A50" s="40">
        <v>1</v>
      </c>
      <c r="B50" s="49" t="s">
        <v>54</v>
      </c>
      <c r="C50" s="50">
        <v>51044</v>
      </c>
      <c r="D50" s="51">
        <f>C50*$C$3/$C$7</f>
        <v>60.6893227056277</v>
      </c>
      <c r="E50" s="40">
        <v>30084</v>
      </c>
      <c r="F50" s="65">
        <f t="shared" ref="F50:F53" si="14">IF((E50/$E$7)&gt;1,ABS(1-E50/$E$7-1),1-E50/$E$7)</f>
        <v>0.975658145992867</v>
      </c>
      <c r="G50" s="51">
        <f>F50*$E$3/$F$7</f>
        <v>192.839406472047</v>
      </c>
      <c r="H50" s="51">
        <f t="shared" si="11"/>
        <v>62.9224719101124</v>
      </c>
      <c r="I50" s="51">
        <v>0</v>
      </c>
      <c r="J50" s="51">
        <f>I50*$I$3/$I$7</f>
        <v>0</v>
      </c>
      <c r="K50" s="77">
        <v>0</v>
      </c>
      <c r="L50" s="51">
        <f>K50*$K$3/$K$7</f>
        <v>0</v>
      </c>
      <c r="M50" s="77">
        <v>2</v>
      </c>
      <c r="N50" s="51">
        <f>M50*$M$3/$M$7</f>
        <v>62.9224719101124</v>
      </c>
      <c r="O50" s="51">
        <f t="shared" si="10"/>
        <v>0</v>
      </c>
      <c r="P50" s="85"/>
      <c r="Q50" s="51">
        <f>P50*$P$3/$P$7</f>
        <v>0</v>
      </c>
      <c r="R50" s="85"/>
      <c r="S50" s="51">
        <f>R50*$R$3/$R$7</f>
        <v>0</v>
      </c>
      <c r="T50" s="77">
        <f t="shared" si="3"/>
        <v>316.451201087787</v>
      </c>
      <c r="U50" s="77"/>
      <c r="V50" s="77"/>
      <c r="W50" s="77">
        <v>316</v>
      </c>
    </row>
    <row r="51" s="18" customFormat="true" ht="27.75" hidden="true" customHeight="true" spans="1:23">
      <c r="A51" s="40">
        <v>2</v>
      </c>
      <c r="B51" s="49" t="s">
        <v>55</v>
      </c>
      <c r="C51" s="50">
        <v>1067</v>
      </c>
      <c r="D51" s="51">
        <f>C51*$C$3/$C$7</f>
        <v>1.26862133310291</v>
      </c>
      <c r="E51" s="40">
        <v>33456</v>
      </c>
      <c r="F51" s="65">
        <f t="shared" si="14"/>
        <v>0.97292976108022</v>
      </c>
      <c r="G51" s="51">
        <f>F51*$E$3/$F$7</f>
        <v>192.30013958913</v>
      </c>
      <c r="H51" s="51">
        <f t="shared" si="11"/>
        <v>0</v>
      </c>
      <c r="I51" s="51">
        <v>0</v>
      </c>
      <c r="J51" s="51">
        <f>I51*$I$3/$I$7</f>
        <v>0</v>
      </c>
      <c r="K51" s="77">
        <v>0</v>
      </c>
      <c r="L51" s="51">
        <f>K51*$K$3/$K$7</f>
        <v>0</v>
      </c>
      <c r="M51" s="77">
        <v>0</v>
      </c>
      <c r="N51" s="51">
        <f>M51*$M$3/$M$7</f>
        <v>0</v>
      </c>
      <c r="O51" s="51">
        <f t="shared" si="10"/>
        <v>0</v>
      </c>
      <c r="P51" s="85"/>
      <c r="Q51" s="51">
        <f>P51*$P$3/$P$7</f>
        <v>0</v>
      </c>
      <c r="R51" s="85"/>
      <c r="S51" s="51">
        <f>R51*$R$3/$R$7</f>
        <v>0</v>
      </c>
      <c r="T51" s="77">
        <f t="shared" si="3"/>
        <v>193.568760922233</v>
      </c>
      <c r="U51" s="77"/>
      <c r="V51" s="77"/>
      <c r="W51" s="77">
        <v>194</v>
      </c>
    </row>
    <row r="52" s="19" customFormat="true" ht="27.75" hidden="true" customHeight="true" spans="1:23">
      <c r="A52" s="48" t="s">
        <v>56</v>
      </c>
      <c r="B52" s="48" t="s">
        <v>57</v>
      </c>
      <c r="C52" s="44">
        <f>C53</f>
        <v>34557</v>
      </c>
      <c r="D52" s="52">
        <f>D53</f>
        <v>41.0869235314312</v>
      </c>
      <c r="E52" s="44">
        <f>E53</f>
        <v>20735</v>
      </c>
      <c r="F52" s="66">
        <f>F53</f>
        <v>0.983222698350023</v>
      </c>
      <c r="G52" s="52">
        <f>G53</f>
        <v>194.334544695175</v>
      </c>
      <c r="H52" s="47">
        <f t="shared" si="11"/>
        <v>0</v>
      </c>
      <c r="I52" s="52">
        <f t="shared" ref="I52:R52" si="15">I53</f>
        <v>0</v>
      </c>
      <c r="J52" s="52">
        <f t="shared" si="15"/>
        <v>0</v>
      </c>
      <c r="K52" s="78">
        <f t="shared" si="15"/>
        <v>0</v>
      </c>
      <c r="L52" s="52">
        <f t="shared" si="15"/>
        <v>0</v>
      </c>
      <c r="M52" s="78">
        <f t="shared" si="15"/>
        <v>0</v>
      </c>
      <c r="N52" s="52">
        <f t="shared" si="15"/>
        <v>0</v>
      </c>
      <c r="O52" s="47">
        <f t="shared" si="10"/>
        <v>64.5923917730252</v>
      </c>
      <c r="P52" s="86">
        <f>1/1.5</f>
        <v>0.666666666666667</v>
      </c>
      <c r="Q52" s="52">
        <f>Q53</f>
        <v>26.9235576923077</v>
      </c>
      <c r="R52" s="86">
        <f>R53</f>
        <v>1</v>
      </c>
      <c r="S52" s="52">
        <f>S53</f>
        <v>37.6688340807175</v>
      </c>
      <c r="T52" s="76">
        <f t="shared" si="3"/>
        <v>300.013859999631</v>
      </c>
      <c r="U52" s="78"/>
      <c r="V52" s="78"/>
      <c r="W52" s="76">
        <v>300</v>
      </c>
    </row>
    <row r="53" s="18" customFormat="true" ht="27.75" hidden="true" customHeight="true" spans="1:23">
      <c r="A53" s="40">
        <v>1</v>
      </c>
      <c r="B53" s="49" t="s">
        <v>58</v>
      </c>
      <c r="C53" s="53">
        <v>34557</v>
      </c>
      <c r="D53" s="51">
        <f>C53*$C$3/$C$7</f>
        <v>41.0869235314312</v>
      </c>
      <c r="E53" s="40">
        <v>20735</v>
      </c>
      <c r="F53" s="65">
        <f t="shared" si="14"/>
        <v>0.983222698350023</v>
      </c>
      <c r="G53" s="51">
        <f>F53*$E$3/$F$7</f>
        <v>194.334544695175</v>
      </c>
      <c r="H53" s="51">
        <f t="shared" si="11"/>
        <v>0</v>
      </c>
      <c r="I53" s="51">
        <v>0</v>
      </c>
      <c r="J53" s="51">
        <f>I53*$I$3/$I$7</f>
        <v>0</v>
      </c>
      <c r="K53" s="77">
        <v>0</v>
      </c>
      <c r="L53" s="51">
        <f>K53*$K$3/$K$7</f>
        <v>0</v>
      </c>
      <c r="M53" s="77">
        <v>0</v>
      </c>
      <c r="N53" s="51">
        <f>M53*$M$3/$M$7</f>
        <v>0</v>
      </c>
      <c r="O53" s="51">
        <f t="shared" si="10"/>
        <v>64.5923917730252</v>
      </c>
      <c r="P53" s="85">
        <f>1/1.5</f>
        <v>0.666666666666667</v>
      </c>
      <c r="Q53" s="51">
        <f>P53*$P$3/$P$7</f>
        <v>26.9235576923077</v>
      </c>
      <c r="R53" s="85">
        <v>1</v>
      </c>
      <c r="S53" s="51">
        <f>R53*$R$3/$R$7</f>
        <v>37.6688340807175</v>
      </c>
      <c r="T53" s="77">
        <f t="shared" si="3"/>
        <v>300.013859999631</v>
      </c>
      <c r="U53" s="77"/>
      <c r="V53" s="77"/>
      <c r="W53" s="77">
        <v>300</v>
      </c>
    </row>
    <row r="54" s="19" customFormat="true" ht="27.75" hidden="true" customHeight="true" spans="1:23">
      <c r="A54" s="48" t="s">
        <v>59</v>
      </c>
      <c r="B54" s="48" t="s">
        <v>60</v>
      </c>
      <c r="C54" s="46">
        <f>SUM(C55:C57)</f>
        <v>193011</v>
      </c>
      <c r="D54" s="47">
        <f>SUM(D55:D57)</f>
        <v>229.482541821485</v>
      </c>
      <c r="E54" s="46">
        <f>SUM(E55:E57)</f>
        <v>53569</v>
      </c>
      <c r="F54" s="64">
        <f>SUM(F55:F57)</f>
        <v>2.95665573802326</v>
      </c>
      <c r="G54" s="47">
        <f>SUM(G55:G57)</f>
        <v>584.384745829556</v>
      </c>
      <c r="H54" s="47">
        <f t="shared" si="11"/>
        <v>1197.64393204958</v>
      </c>
      <c r="I54" s="47">
        <f>I55+I56+I57</f>
        <v>577.6</v>
      </c>
      <c r="J54" s="47">
        <f>SUM(J55:J57)</f>
        <v>1103.26022418441</v>
      </c>
      <c r="K54" s="46">
        <f>SUM(K55:K57)</f>
        <v>0</v>
      </c>
      <c r="L54" s="47">
        <f>SUM(L55:L57)</f>
        <v>0</v>
      </c>
      <c r="M54" s="76">
        <f>SUM(M55:M57)</f>
        <v>3</v>
      </c>
      <c r="N54" s="47">
        <f>SUM(N55:N57)</f>
        <v>94.3837078651685</v>
      </c>
      <c r="O54" s="47">
        <f t="shared" si="10"/>
        <v>194.682676138324</v>
      </c>
      <c r="P54" s="84">
        <f>SUM(P55:P57)</f>
        <v>2.33333333333333</v>
      </c>
      <c r="Q54" s="47">
        <f>SUM(Q55:Q57)</f>
        <v>94.2324519230769</v>
      </c>
      <c r="R54" s="84">
        <f>SUM(R55:R57)</f>
        <v>2.66666666666667</v>
      </c>
      <c r="S54" s="47">
        <f>SUM(S55:S57)</f>
        <v>100.450224215247</v>
      </c>
      <c r="T54" s="76">
        <f t="shared" si="3"/>
        <v>2206.19389583895</v>
      </c>
      <c r="U54" s="76"/>
      <c r="V54" s="76"/>
      <c r="W54" s="76">
        <v>2206</v>
      </c>
    </row>
    <row r="55" s="18" customFormat="true" ht="27.75" hidden="true" customHeight="true" spans="1:23">
      <c r="A55" s="40">
        <v>1</v>
      </c>
      <c r="B55" s="49" t="s">
        <v>61</v>
      </c>
      <c r="C55" s="50">
        <v>136406</v>
      </c>
      <c r="D55" s="51">
        <f>C55*$C$3/$C$7</f>
        <v>162.181407275759</v>
      </c>
      <c r="E55" s="50">
        <v>18980</v>
      </c>
      <c r="F55" s="65">
        <f t="shared" ref="F55:F59" si="16">IF((E55/$E$7)&gt;1,ABS(1-E55/$E$7-1),1-E55/$E$7)</f>
        <v>0.98464272074673</v>
      </c>
      <c r="G55" s="51">
        <f>F55*$E$3/$F$7</f>
        <v>194.615212957192</v>
      </c>
      <c r="H55" s="51">
        <f t="shared" si="11"/>
        <v>156.898238928591</v>
      </c>
      <c r="I55" s="51">
        <v>49.2</v>
      </c>
      <c r="J55" s="51">
        <f>I55*$I$3/$I$7</f>
        <v>93.9757670184783</v>
      </c>
      <c r="K55" s="77">
        <v>0</v>
      </c>
      <c r="L55" s="51">
        <f>K55*$K$3/$K$7</f>
        <v>0</v>
      </c>
      <c r="M55" s="77">
        <v>2</v>
      </c>
      <c r="N55" s="51">
        <f>M55*$M$3/$M$7</f>
        <v>62.9224719101124</v>
      </c>
      <c r="O55" s="51">
        <f t="shared" si="10"/>
        <v>64.5923917730252</v>
      </c>
      <c r="P55" s="85">
        <f>1/1.5</f>
        <v>0.666666666666667</v>
      </c>
      <c r="Q55" s="51">
        <f>P55*$P$3/$P$7</f>
        <v>26.9235576923077</v>
      </c>
      <c r="R55" s="85">
        <v>1</v>
      </c>
      <c r="S55" s="51">
        <f>R55*$R$3/$R$7</f>
        <v>37.6688340807175</v>
      </c>
      <c r="T55" s="77">
        <f t="shared" si="3"/>
        <v>578.287250934567</v>
      </c>
      <c r="U55" s="77"/>
      <c r="V55" s="77"/>
      <c r="W55" s="77">
        <v>578</v>
      </c>
    </row>
    <row r="56" s="18" customFormat="true" ht="27.75" hidden="true" customHeight="true" spans="1:23">
      <c r="A56" s="40">
        <v>2</v>
      </c>
      <c r="B56" s="49" t="s">
        <v>62</v>
      </c>
      <c r="C56" s="50">
        <v>41029</v>
      </c>
      <c r="D56" s="51">
        <f>C56*$C$3/$C$7</f>
        <v>48.7818787965127</v>
      </c>
      <c r="E56" s="50">
        <v>14792</v>
      </c>
      <c r="F56" s="65">
        <f t="shared" si="16"/>
        <v>0.988031355389127</v>
      </c>
      <c r="G56" s="51">
        <f>F56*$E$3/$F$7</f>
        <v>195.284978587576</v>
      </c>
      <c r="H56" s="51">
        <f t="shared" si="11"/>
        <v>598.617995601445</v>
      </c>
      <c r="I56" s="51">
        <v>313.4</v>
      </c>
      <c r="J56" s="51">
        <f>I56*$I$3/$I$7</f>
        <v>598.617995601445</v>
      </c>
      <c r="K56" s="77">
        <v>0</v>
      </c>
      <c r="L56" s="51">
        <f>K56*$K$3/$K$7</f>
        <v>0</v>
      </c>
      <c r="M56" s="77">
        <v>0</v>
      </c>
      <c r="N56" s="51">
        <f>M56*$M$3/$M$7</f>
        <v>0</v>
      </c>
      <c r="O56" s="51">
        <f t="shared" si="10"/>
        <v>64.5923917730252</v>
      </c>
      <c r="P56" s="85">
        <f>1/1.5</f>
        <v>0.666666666666667</v>
      </c>
      <c r="Q56" s="51">
        <f>P56*$P$3/$P$7</f>
        <v>26.9235576923077</v>
      </c>
      <c r="R56" s="85">
        <v>1</v>
      </c>
      <c r="S56" s="51">
        <f>R56*$R$3/$R$7</f>
        <v>37.6688340807175</v>
      </c>
      <c r="T56" s="77">
        <f t="shared" si="3"/>
        <v>907.277244758559</v>
      </c>
      <c r="U56" s="77"/>
      <c r="V56" s="77"/>
      <c r="W56" s="77">
        <v>907</v>
      </c>
    </row>
    <row r="57" s="18" customFormat="true" ht="27.75" hidden="true" customHeight="true" spans="1:23">
      <c r="A57" s="40">
        <v>3</v>
      </c>
      <c r="B57" s="49" t="s">
        <v>63</v>
      </c>
      <c r="C57" s="50">
        <v>15576</v>
      </c>
      <c r="D57" s="51">
        <f>C57*$C$3/$C$7</f>
        <v>18.5192557492135</v>
      </c>
      <c r="E57" s="50">
        <v>19797</v>
      </c>
      <c r="F57" s="65">
        <f t="shared" si="16"/>
        <v>0.983981661887408</v>
      </c>
      <c r="G57" s="51">
        <f>F57*$E$3/$F$7</f>
        <v>194.484554284788</v>
      </c>
      <c r="H57" s="51">
        <f t="shared" si="11"/>
        <v>442.127697519545</v>
      </c>
      <c r="I57" s="51">
        <v>215</v>
      </c>
      <c r="J57" s="51">
        <f>I57*$I$3/$I$7</f>
        <v>410.666461564488</v>
      </c>
      <c r="K57" s="77">
        <v>0</v>
      </c>
      <c r="L57" s="51">
        <f>K57*$K$3/$K$7</f>
        <v>0</v>
      </c>
      <c r="M57" s="77">
        <v>1</v>
      </c>
      <c r="N57" s="51">
        <f>M57*$M$3/$M$7</f>
        <v>31.4612359550562</v>
      </c>
      <c r="O57" s="51">
        <f t="shared" si="10"/>
        <v>65.4978925922732</v>
      </c>
      <c r="P57" s="85">
        <v>1</v>
      </c>
      <c r="Q57" s="51">
        <f>P57*$P$3/$P$7</f>
        <v>40.3853365384615</v>
      </c>
      <c r="R57" s="85">
        <f>1/1.5</f>
        <v>0.666666666666667</v>
      </c>
      <c r="S57" s="51">
        <f>R57*$R$3/$R$7</f>
        <v>25.1125560538117</v>
      </c>
      <c r="T57" s="77">
        <f t="shared" si="3"/>
        <v>720.629400145819</v>
      </c>
      <c r="U57" s="77"/>
      <c r="V57" s="85"/>
      <c r="W57" s="77">
        <v>721</v>
      </c>
    </row>
    <row r="58" s="20" customFormat="true" ht="27.75" hidden="true" customHeight="true" spans="1:23">
      <c r="A58" s="48" t="s">
        <v>64</v>
      </c>
      <c r="B58" s="48" t="s">
        <v>65</v>
      </c>
      <c r="C58" s="46">
        <f>SUM(C59:C61)</f>
        <v>526740</v>
      </c>
      <c r="D58" s="47">
        <f>SUM(D59:D61)</f>
        <v>626.273290532919</v>
      </c>
      <c r="E58" s="46">
        <f>SUM(E59:E61)</f>
        <v>44294</v>
      </c>
      <c r="F58" s="64">
        <f>SUM(F59:F61)</f>
        <v>2.96416041479218</v>
      </c>
      <c r="G58" s="47">
        <f>SUM(G59:G61)</f>
        <v>585.868049607448</v>
      </c>
      <c r="H58" s="47">
        <f t="shared" si="11"/>
        <v>188.767415730337</v>
      </c>
      <c r="I58" s="47">
        <f t="shared" ref="I58:R58" si="17">SUM(I59:I61)</f>
        <v>0</v>
      </c>
      <c r="J58" s="47">
        <f t="shared" si="17"/>
        <v>0</v>
      </c>
      <c r="K58" s="46">
        <f t="shared" si="17"/>
        <v>0</v>
      </c>
      <c r="L58" s="47">
        <f t="shared" si="17"/>
        <v>0</v>
      </c>
      <c r="M58" s="76">
        <f t="shared" si="17"/>
        <v>6</v>
      </c>
      <c r="N58" s="47">
        <f t="shared" si="17"/>
        <v>188.767415730337</v>
      </c>
      <c r="O58" s="47">
        <f t="shared" si="10"/>
        <v>181.22089729217</v>
      </c>
      <c r="P58" s="84">
        <f>SUM(P59:P61)</f>
        <v>2</v>
      </c>
      <c r="Q58" s="47">
        <f>SUM(Q59:Q61)</f>
        <v>80.7706730769231</v>
      </c>
      <c r="R58" s="84">
        <f>SUM(R59:R61)</f>
        <v>2.66666666666667</v>
      </c>
      <c r="S58" s="47">
        <f>SUM(S59:S61)</f>
        <v>100.450224215247</v>
      </c>
      <c r="T58" s="76">
        <f t="shared" si="3"/>
        <v>1582.12965316287</v>
      </c>
      <c r="U58" s="76"/>
      <c r="V58" s="84"/>
      <c r="W58" s="76">
        <v>1582</v>
      </c>
    </row>
    <row r="59" s="18" customFormat="true" ht="27.75" hidden="true" customHeight="true" spans="1:23">
      <c r="A59" s="40">
        <v>1</v>
      </c>
      <c r="B59" s="49" t="s">
        <v>66</v>
      </c>
      <c r="C59" s="50">
        <v>244770</v>
      </c>
      <c r="D59" s="51">
        <f>C59*C3/C7</f>
        <v>291.021971605996</v>
      </c>
      <c r="E59" s="50">
        <v>14811</v>
      </c>
      <c r="F59" s="65">
        <f t="shared" si="16"/>
        <v>0.988015981927282</v>
      </c>
      <c r="G59" s="51">
        <f>F59*$E$3/$F$7</f>
        <v>195.281940013799</v>
      </c>
      <c r="H59" s="51">
        <f t="shared" si="11"/>
        <v>31.4612359550562</v>
      </c>
      <c r="I59" s="51">
        <v>0</v>
      </c>
      <c r="J59" s="51">
        <f>I59*$I$3/$I$7</f>
        <v>0</v>
      </c>
      <c r="K59" s="77">
        <v>0</v>
      </c>
      <c r="L59" s="51">
        <f>K59*$K$3/$K$7</f>
        <v>0</v>
      </c>
      <c r="M59" s="77">
        <v>1</v>
      </c>
      <c r="N59" s="51">
        <f>M59*$M$3/$M$7</f>
        <v>31.4612359550562</v>
      </c>
      <c r="O59" s="51">
        <f t="shared" si="10"/>
        <v>52.0361137461194</v>
      </c>
      <c r="P59" s="85">
        <f>1/1.5</f>
        <v>0.666666666666667</v>
      </c>
      <c r="Q59" s="51">
        <f>P59*$P$3/$P$7</f>
        <v>26.9235576923077</v>
      </c>
      <c r="R59" s="85">
        <f>1/1.5</f>
        <v>0.666666666666667</v>
      </c>
      <c r="S59" s="51">
        <f>R59*$R$3/$R$7</f>
        <v>25.1125560538117</v>
      </c>
      <c r="T59" s="77">
        <f t="shared" si="3"/>
        <v>569.801261320971</v>
      </c>
      <c r="U59" s="77"/>
      <c r="V59" s="85"/>
      <c r="W59" s="77">
        <v>570</v>
      </c>
    </row>
    <row r="60" s="18" customFormat="true" ht="27.75" hidden="true" customHeight="true" spans="1:23">
      <c r="A60" s="40">
        <v>2</v>
      </c>
      <c r="B60" s="49" t="s">
        <v>67</v>
      </c>
      <c r="C60" s="50">
        <v>178976</v>
      </c>
      <c r="D60" s="51">
        <f>C60*C3/C7</f>
        <v>212.795474895432</v>
      </c>
      <c r="E60" s="50">
        <v>15185</v>
      </c>
      <c r="F60" s="65">
        <f t="shared" ref="F60:F63" si="18">IF((E60/$E$7)&gt;1,ABS(1-E60/$E$7-1),1-E60/$E$7)</f>
        <v>0.987713367467813</v>
      </c>
      <c r="G60" s="51">
        <f>F60*$E$3/$F$7</f>
        <v>195.222128087876</v>
      </c>
      <c r="H60" s="51">
        <f t="shared" si="11"/>
        <v>94.3837078651686</v>
      </c>
      <c r="I60" s="51">
        <v>0</v>
      </c>
      <c r="J60" s="51">
        <f>I60*$I$3/$I$7</f>
        <v>0</v>
      </c>
      <c r="K60" s="77">
        <v>0</v>
      </c>
      <c r="L60" s="51">
        <f>K60*$K$3/$K$7</f>
        <v>0</v>
      </c>
      <c r="M60" s="77">
        <v>3</v>
      </c>
      <c r="N60" s="51">
        <f>M60*$M$3/$M$7</f>
        <v>94.3837078651686</v>
      </c>
      <c r="O60" s="51">
        <f t="shared" si="10"/>
        <v>64.5923917730252</v>
      </c>
      <c r="P60" s="85">
        <f>1/1.5</f>
        <v>0.666666666666667</v>
      </c>
      <c r="Q60" s="51">
        <f>P60*$P$3/$P$7</f>
        <v>26.9235576923077</v>
      </c>
      <c r="R60" s="85">
        <v>1</v>
      </c>
      <c r="S60" s="51">
        <f>R60*$R$3/$R$7</f>
        <v>37.6688340807175</v>
      </c>
      <c r="T60" s="77">
        <f t="shared" si="3"/>
        <v>566.993702621502</v>
      </c>
      <c r="U60" s="77"/>
      <c r="V60" s="85"/>
      <c r="W60" s="77">
        <v>567</v>
      </c>
    </row>
    <row r="61" s="18" customFormat="true" ht="27.75" hidden="true" customHeight="true" spans="1:23">
      <c r="A61" s="40">
        <v>3</v>
      </c>
      <c r="B61" s="49" t="s">
        <v>68</v>
      </c>
      <c r="C61" s="50">
        <v>102994</v>
      </c>
      <c r="D61" s="51">
        <f>C61*C3/C7</f>
        <v>122.455844031491</v>
      </c>
      <c r="E61" s="50">
        <v>14298</v>
      </c>
      <c r="F61" s="65">
        <f t="shared" si="18"/>
        <v>0.988431065397088</v>
      </c>
      <c r="G61" s="51">
        <f>F61*$E$3/$F$7</f>
        <v>195.363981505773</v>
      </c>
      <c r="H61" s="51">
        <f t="shared" si="11"/>
        <v>62.9224719101124</v>
      </c>
      <c r="I61" s="51">
        <v>0</v>
      </c>
      <c r="J61" s="51">
        <f>I61*$I$3/$I$7</f>
        <v>0</v>
      </c>
      <c r="K61" s="77">
        <v>0</v>
      </c>
      <c r="L61" s="51">
        <f>K61*$K$3/$K$7</f>
        <v>0</v>
      </c>
      <c r="M61" s="77">
        <v>2</v>
      </c>
      <c r="N61" s="51">
        <f>M61*$M$3/$M$7</f>
        <v>62.9224719101124</v>
      </c>
      <c r="O61" s="51">
        <f t="shared" si="10"/>
        <v>64.5923917730252</v>
      </c>
      <c r="P61" s="85">
        <f>1/1.5</f>
        <v>0.666666666666667</v>
      </c>
      <c r="Q61" s="51">
        <f>P61*$P$3/$P$7</f>
        <v>26.9235576923077</v>
      </c>
      <c r="R61" s="85">
        <v>1</v>
      </c>
      <c r="S61" s="51">
        <f>R61*$R$3/$R$7</f>
        <v>37.6688340807175</v>
      </c>
      <c r="T61" s="77">
        <f t="shared" si="3"/>
        <v>445.334689220402</v>
      </c>
      <c r="U61" s="77"/>
      <c r="V61" s="85"/>
      <c r="W61" s="77">
        <v>445</v>
      </c>
    </row>
    <row r="62" s="20" customFormat="true" ht="27.75" hidden="true" customHeight="true" spans="1:23">
      <c r="A62" s="48" t="s">
        <v>69</v>
      </c>
      <c r="B62" s="45" t="s">
        <v>70</v>
      </c>
      <c r="C62" s="46">
        <f>SUM(C63:C71)</f>
        <v>579942</v>
      </c>
      <c r="D62" s="47">
        <f>SUM(D63:D71)</f>
        <v>689.52839096754</v>
      </c>
      <c r="E62" s="46">
        <f>SUM(E63:E71)</f>
        <v>167805</v>
      </c>
      <c r="F62" s="64">
        <f>SUM(F63:F71)</f>
        <v>8.86422401237645</v>
      </c>
      <c r="G62" s="47">
        <f>SUM(G63:G71)</f>
        <v>1752.01909029562</v>
      </c>
      <c r="H62" s="47">
        <f t="shared" si="11"/>
        <v>346.073595505618</v>
      </c>
      <c r="I62" s="47">
        <f t="shared" ref="I62:R62" si="19">SUM(I63:I71)</f>
        <v>0</v>
      </c>
      <c r="J62" s="47">
        <f t="shared" si="19"/>
        <v>0</v>
      </c>
      <c r="K62" s="76">
        <f t="shared" si="19"/>
        <v>0</v>
      </c>
      <c r="L62" s="47">
        <f t="shared" si="19"/>
        <v>0</v>
      </c>
      <c r="M62" s="76">
        <f t="shared" si="19"/>
        <v>11</v>
      </c>
      <c r="N62" s="47">
        <f t="shared" si="19"/>
        <v>346.073595505618</v>
      </c>
      <c r="O62" s="47">
        <f t="shared" si="10"/>
        <v>622.622363314936</v>
      </c>
      <c r="P62" s="84">
        <f>SUM(P63:P71)</f>
        <v>7.33333333333333</v>
      </c>
      <c r="Q62" s="47">
        <f>SUM(Q63:Q71)</f>
        <v>296.159134615385</v>
      </c>
      <c r="R62" s="84">
        <f>SUM(R63:R71)</f>
        <v>8.66666666666667</v>
      </c>
      <c r="S62" s="47">
        <f>SUM(S63:S71)</f>
        <v>326.463228699552</v>
      </c>
      <c r="T62" s="76">
        <f t="shared" si="3"/>
        <v>3410.24344008371</v>
      </c>
      <c r="U62" s="76"/>
      <c r="V62" s="84"/>
      <c r="W62" s="76">
        <v>3410</v>
      </c>
    </row>
    <row r="63" s="18" customFormat="true" ht="27.75" hidden="true" customHeight="true" spans="1:23">
      <c r="A63" s="40">
        <v>1</v>
      </c>
      <c r="B63" s="49" t="s">
        <v>71</v>
      </c>
      <c r="C63" s="50">
        <v>157832</v>
      </c>
      <c r="D63" s="51">
        <f>C63*C3/C7</f>
        <v>187.656084579473</v>
      </c>
      <c r="E63" s="67">
        <v>19904</v>
      </c>
      <c r="F63" s="65">
        <f t="shared" si="18"/>
        <v>0.983895085023335</v>
      </c>
      <c r="G63" s="51">
        <f>F63*$E$3/$F$7</f>
        <v>194.467442316677</v>
      </c>
      <c r="H63" s="51">
        <f t="shared" si="11"/>
        <v>31.4612359550562</v>
      </c>
      <c r="I63" s="51">
        <v>0</v>
      </c>
      <c r="J63" s="51">
        <f>I63*$I$3/$I$7</f>
        <v>0</v>
      </c>
      <c r="K63" s="77">
        <v>0</v>
      </c>
      <c r="L63" s="51">
        <f>K63*$K$3/$K$7</f>
        <v>0</v>
      </c>
      <c r="M63" s="77">
        <v>1</v>
      </c>
      <c r="N63" s="51">
        <f>M63*$M$3/$M$7</f>
        <v>31.4612359550562</v>
      </c>
      <c r="O63" s="51">
        <f t="shared" si="10"/>
        <v>78.054170619179</v>
      </c>
      <c r="P63" s="85">
        <v>1</v>
      </c>
      <c r="Q63" s="51">
        <f>P63*$P$3/$P$7</f>
        <v>40.3853365384615</v>
      </c>
      <c r="R63" s="85">
        <v>1</v>
      </c>
      <c r="S63" s="51">
        <f>R63*$R$3/$R$7</f>
        <v>37.6688340807175</v>
      </c>
      <c r="T63" s="77">
        <f t="shared" si="3"/>
        <v>491.638933470385</v>
      </c>
      <c r="U63" s="77"/>
      <c r="V63" s="85"/>
      <c r="W63" s="77">
        <v>492</v>
      </c>
    </row>
    <row r="64" s="18" customFormat="true" ht="27.75" hidden="true" customHeight="true" spans="1:23">
      <c r="A64" s="40">
        <v>2</v>
      </c>
      <c r="B64" s="49" t="s">
        <v>72</v>
      </c>
      <c r="C64" s="50">
        <v>96500</v>
      </c>
      <c r="D64" s="51">
        <f>C64*C3/C7</f>
        <v>114.734731625521</v>
      </c>
      <c r="E64" s="67">
        <v>16325</v>
      </c>
      <c r="F64" s="65">
        <f t="shared" ref="F64:F71" si="20">IF((E64/$E$7)&gt;1,ABS(1-E64/$E$7-1),1-E64/$E$7)</f>
        <v>0.986790959757132</v>
      </c>
      <c r="G64" s="51">
        <f>F64*$E$3/$F$7</f>
        <v>195.039813661268</v>
      </c>
      <c r="H64" s="51">
        <f t="shared" si="11"/>
        <v>0</v>
      </c>
      <c r="I64" s="51">
        <v>0</v>
      </c>
      <c r="J64" s="51">
        <f>I64*$I$3/$I$7</f>
        <v>0</v>
      </c>
      <c r="K64" s="77">
        <v>0</v>
      </c>
      <c r="L64" s="51">
        <f>K64*$K$3/$K$7</f>
        <v>0</v>
      </c>
      <c r="M64" s="77">
        <v>0</v>
      </c>
      <c r="N64" s="51">
        <f>M64*$M$3/$M$7</f>
        <v>0</v>
      </c>
      <c r="O64" s="51">
        <f t="shared" si="10"/>
        <v>78.054170619179</v>
      </c>
      <c r="P64" s="85">
        <v>1</v>
      </c>
      <c r="Q64" s="51">
        <f>P64*$P$3/$P$7</f>
        <v>40.3853365384615</v>
      </c>
      <c r="R64" s="85">
        <v>1</v>
      </c>
      <c r="S64" s="51">
        <f>R64*$R$3/$R$7</f>
        <v>37.6688340807175</v>
      </c>
      <c r="T64" s="77">
        <f t="shared" si="3"/>
        <v>387.828715905968</v>
      </c>
      <c r="U64" s="77"/>
      <c r="V64" s="85"/>
      <c r="W64" s="77">
        <v>388</v>
      </c>
    </row>
    <row r="65" s="18" customFormat="true" ht="27.75" hidden="true" customHeight="true" spans="1:23">
      <c r="A65" s="40">
        <v>3</v>
      </c>
      <c r="B65" s="49" t="s">
        <v>73</v>
      </c>
      <c r="C65" s="50">
        <v>35421</v>
      </c>
      <c r="D65" s="51">
        <f>C65*C3/C7</f>
        <v>42.1141857917882</v>
      </c>
      <c r="E65" s="67">
        <v>16785</v>
      </c>
      <c r="F65" s="65">
        <f t="shared" si="20"/>
        <v>0.986418760154576</v>
      </c>
      <c r="G65" s="51">
        <f>F65*$E$3/$F$7</f>
        <v>194.966248190881</v>
      </c>
      <c r="H65" s="51">
        <f t="shared" si="11"/>
        <v>31.4612359550562</v>
      </c>
      <c r="I65" s="51">
        <v>0</v>
      </c>
      <c r="J65" s="51">
        <f>I65*$I$3/$I$7</f>
        <v>0</v>
      </c>
      <c r="K65" s="77">
        <v>0</v>
      </c>
      <c r="L65" s="51">
        <f>K65*$K$3/$K$7</f>
        <v>0</v>
      </c>
      <c r="M65" s="77">
        <v>1</v>
      </c>
      <c r="N65" s="51">
        <f>M65*$M$3/$M$7</f>
        <v>31.4612359550562</v>
      </c>
      <c r="O65" s="51">
        <f t="shared" si="10"/>
        <v>52.0361137461194</v>
      </c>
      <c r="P65" s="85">
        <f>1/1.5</f>
        <v>0.666666666666667</v>
      </c>
      <c r="Q65" s="51">
        <f>P65*$P$3/$P$7</f>
        <v>26.9235576923077</v>
      </c>
      <c r="R65" s="85">
        <f>1/1.5</f>
        <v>0.666666666666667</v>
      </c>
      <c r="S65" s="51">
        <f>R65*$R$3/$R$7</f>
        <v>25.1125560538117</v>
      </c>
      <c r="T65" s="77">
        <f t="shared" si="3"/>
        <v>320.577783683845</v>
      </c>
      <c r="U65" s="77"/>
      <c r="V65" s="85"/>
      <c r="W65" s="77">
        <v>321</v>
      </c>
    </row>
    <row r="66" s="18" customFormat="true" ht="27.75" hidden="true" customHeight="true" spans="1:23">
      <c r="A66" s="40">
        <v>4</v>
      </c>
      <c r="B66" s="49" t="s">
        <v>74</v>
      </c>
      <c r="C66" s="50">
        <v>15300</v>
      </c>
      <c r="D66" s="51">
        <f>C66*C3/C7</f>
        <v>18.1911025271551</v>
      </c>
      <c r="E66" s="67">
        <v>32190</v>
      </c>
      <c r="F66" s="65">
        <f t="shared" si="20"/>
        <v>0.973954119116819</v>
      </c>
      <c r="G66" s="51">
        <f>F66*$E$3/$F$7</f>
        <v>192.502604557627</v>
      </c>
      <c r="H66" s="51">
        <f t="shared" si="11"/>
        <v>62.9224719101124</v>
      </c>
      <c r="I66" s="51">
        <v>0</v>
      </c>
      <c r="J66" s="51">
        <f>I66*$I$3/$I$7</f>
        <v>0</v>
      </c>
      <c r="K66" s="77">
        <v>0</v>
      </c>
      <c r="L66" s="51">
        <f>K66*$K$3/$K$7</f>
        <v>0</v>
      </c>
      <c r="M66" s="77">
        <v>2</v>
      </c>
      <c r="N66" s="51">
        <f>M66*$M$3/$M$7</f>
        <v>62.9224719101124</v>
      </c>
      <c r="O66" s="51">
        <f t="shared" si="10"/>
        <v>64.5923917730252</v>
      </c>
      <c r="P66" s="85">
        <f>1/1.5</f>
        <v>0.666666666666667</v>
      </c>
      <c r="Q66" s="51">
        <f>P66*$P$3/$P$7</f>
        <v>26.9235576923077</v>
      </c>
      <c r="R66" s="85">
        <v>1</v>
      </c>
      <c r="S66" s="51">
        <f>R66*$R$3/$R$7</f>
        <v>37.6688340807175</v>
      </c>
      <c r="T66" s="77">
        <f t="shared" si="3"/>
        <v>338.20857076792</v>
      </c>
      <c r="U66" s="77"/>
      <c r="V66" s="85"/>
      <c r="W66" s="77">
        <v>338</v>
      </c>
    </row>
    <row r="67" s="18" customFormat="true" ht="27.75" hidden="true" customHeight="true" spans="1:23">
      <c r="A67" s="40">
        <v>5</v>
      </c>
      <c r="B67" s="49" t="s">
        <v>75</v>
      </c>
      <c r="C67" s="50">
        <v>52130</v>
      </c>
      <c r="D67" s="51">
        <f>C67*C3/C7</f>
        <v>61.9805342967708</v>
      </c>
      <c r="E67" s="67">
        <v>16906</v>
      </c>
      <c r="F67" s="65">
        <f t="shared" si="20"/>
        <v>0.986320855476513</v>
      </c>
      <c r="G67" s="51">
        <f>F67*$E$3/$F$7</f>
        <v>194.946897273671</v>
      </c>
      <c r="H67" s="51">
        <f t="shared" si="11"/>
        <v>0</v>
      </c>
      <c r="I67" s="51">
        <v>0</v>
      </c>
      <c r="J67" s="51">
        <f>I67*$I$3/$I$7</f>
        <v>0</v>
      </c>
      <c r="K67" s="77">
        <v>0</v>
      </c>
      <c r="L67" s="51">
        <f>K67*$K$3/$K$7</f>
        <v>0</v>
      </c>
      <c r="M67" s="77">
        <v>0</v>
      </c>
      <c r="N67" s="51">
        <f>M67*$M$3/$M$7</f>
        <v>0</v>
      </c>
      <c r="O67" s="51">
        <f t="shared" si="10"/>
        <v>78.054170619179</v>
      </c>
      <c r="P67" s="85">
        <v>1</v>
      </c>
      <c r="Q67" s="51">
        <f>P67*$P$3/$P$7</f>
        <v>40.3853365384615</v>
      </c>
      <c r="R67" s="85">
        <v>1</v>
      </c>
      <c r="S67" s="51">
        <f>R67*$R$3/$R$7</f>
        <v>37.6688340807175</v>
      </c>
      <c r="T67" s="77">
        <f t="shared" si="3"/>
        <v>334.981602189621</v>
      </c>
      <c r="U67" s="77"/>
      <c r="V67" s="85"/>
      <c r="W67" s="77">
        <v>335</v>
      </c>
    </row>
    <row r="68" s="18" customFormat="true" ht="27.75" hidden="true" customHeight="true" spans="1:23">
      <c r="A68" s="40">
        <v>6</v>
      </c>
      <c r="B68" s="49" t="s">
        <v>76</v>
      </c>
      <c r="C68" s="50">
        <v>82036</v>
      </c>
      <c r="D68" s="51">
        <f>C68*C3/C7</f>
        <v>97.5376004521368</v>
      </c>
      <c r="E68" s="67">
        <v>16783</v>
      </c>
      <c r="F68" s="65">
        <f t="shared" si="20"/>
        <v>0.986420378413718</v>
      </c>
      <c r="G68" s="51">
        <f>F68*$E$3/$F$7</f>
        <v>194.966568040753</v>
      </c>
      <c r="H68" s="51">
        <f t="shared" si="11"/>
        <v>62.9224719101124</v>
      </c>
      <c r="I68" s="51">
        <v>0</v>
      </c>
      <c r="J68" s="51">
        <f>I68*$I$3/$I$7</f>
        <v>0</v>
      </c>
      <c r="K68" s="77">
        <v>0</v>
      </c>
      <c r="L68" s="51">
        <f>K68*$K$3/$K$7</f>
        <v>0</v>
      </c>
      <c r="M68" s="77">
        <v>2</v>
      </c>
      <c r="N68" s="51">
        <f>M68*$M$3/$M$7</f>
        <v>62.9224719101124</v>
      </c>
      <c r="O68" s="51">
        <f t="shared" si="10"/>
        <v>78.054170619179</v>
      </c>
      <c r="P68" s="85">
        <v>1</v>
      </c>
      <c r="Q68" s="51">
        <f>P68*$P$3/$P$7</f>
        <v>40.3853365384615</v>
      </c>
      <c r="R68" s="85">
        <v>1</v>
      </c>
      <c r="S68" s="51">
        <f>R68*$R$3/$R$7</f>
        <v>37.6688340807175</v>
      </c>
      <c r="T68" s="77">
        <f t="shared" si="3"/>
        <v>433.480811022181</v>
      </c>
      <c r="U68" s="77"/>
      <c r="V68" s="85"/>
      <c r="W68" s="77">
        <v>433</v>
      </c>
    </row>
    <row r="69" s="18" customFormat="true" ht="27.75" hidden="true" customHeight="true" spans="1:23">
      <c r="A69" s="40">
        <v>7</v>
      </c>
      <c r="B69" s="49" t="s">
        <v>77</v>
      </c>
      <c r="C69" s="50">
        <v>94032</v>
      </c>
      <c r="D69" s="51">
        <f>C69*C3/C7</f>
        <v>111.800376002186</v>
      </c>
      <c r="E69" s="67">
        <v>17002</v>
      </c>
      <c r="F69" s="65">
        <f t="shared" si="20"/>
        <v>0.986243179037718</v>
      </c>
      <c r="G69" s="51">
        <f>F69*$E$3/$F$7</f>
        <v>194.931544479851</v>
      </c>
      <c r="H69" s="51">
        <f t="shared" si="11"/>
        <v>62.9224719101124</v>
      </c>
      <c r="I69" s="51">
        <v>0</v>
      </c>
      <c r="J69" s="51">
        <f>I69*$I$3/$I$7</f>
        <v>0</v>
      </c>
      <c r="K69" s="77">
        <v>0</v>
      </c>
      <c r="L69" s="51">
        <f>K69*$K$3/$K$7</f>
        <v>0</v>
      </c>
      <c r="M69" s="77">
        <v>2</v>
      </c>
      <c r="N69" s="51">
        <f>M69*$M$3/$M$7</f>
        <v>62.9224719101124</v>
      </c>
      <c r="O69" s="51">
        <f t="shared" si="10"/>
        <v>64.5923917730252</v>
      </c>
      <c r="P69" s="85">
        <f>1/1.5</f>
        <v>0.666666666666667</v>
      </c>
      <c r="Q69" s="51">
        <f>P69*$P$3/$P$7</f>
        <v>26.9235576923077</v>
      </c>
      <c r="R69" s="85">
        <v>1</v>
      </c>
      <c r="S69" s="51">
        <f>R69*$R$3/$R$7</f>
        <v>37.6688340807175</v>
      </c>
      <c r="T69" s="77">
        <f t="shared" si="3"/>
        <v>434.246784165175</v>
      </c>
      <c r="U69" s="77"/>
      <c r="V69" s="85"/>
      <c r="W69" s="77">
        <v>434</v>
      </c>
    </row>
    <row r="70" s="18" customFormat="true" ht="27.75" hidden="true" customHeight="true" spans="1:23">
      <c r="A70" s="40">
        <v>8</v>
      </c>
      <c r="B70" s="49" t="s">
        <v>78</v>
      </c>
      <c r="C70" s="50">
        <v>24198</v>
      </c>
      <c r="D70" s="51">
        <f>C70*C3/C7</f>
        <v>28.7704770556927</v>
      </c>
      <c r="E70" s="67">
        <v>16035</v>
      </c>
      <c r="F70" s="65">
        <f t="shared" si="20"/>
        <v>0.987025607332656</v>
      </c>
      <c r="G70" s="51">
        <f>F70*$E$3/$F$7</f>
        <v>195.086191892598</v>
      </c>
      <c r="H70" s="51">
        <f t="shared" si="11"/>
        <v>31.4612359550562</v>
      </c>
      <c r="I70" s="51">
        <v>0</v>
      </c>
      <c r="J70" s="51">
        <f>I70*$I$3/$I$7</f>
        <v>0</v>
      </c>
      <c r="K70" s="77">
        <v>0</v>
      </c>
      <c r="L70" s="51">
        <f>K70*$K$3/$K$7</f>
        <v>0</v>
      </c>
      <c r="M70" s="77">
        <v>1</v>
      </c>
      <c r="N70" s="51">
        <f>M70*$M$3/$M$7</f>
        <v>31.4612359550562</v>
      </c>
      <c r="O70" s="51">
        <f t="shared" si="10"/>
        <v>64.5923917730252</v>
      </c>
      <c r="P70" s="85">
        <f>1/1.5</f>
        <v>0.666666666666667</v>
      </c>
      <c r="Q70" s="51">
        <f>P70*$P$3/$P$7</f>
        <v>26.9235576923077</v>
      </c>
      <c r="R70" s="85">
        <v>1</v>
      </c>
      <c r="S70" s="51">
        <f>R70*$R$3/$R$7</f>
        <v>37.6688340807175</v>
      </c>
      <c r="T70" s="77">
        <f t="shared" si="3"/>
        <v>319.910296676372</v>
      </c>
      <c r="U70" s="77"/>
      <c r="V70" s="85"/>
      <c r="W70" s="77">
        <v>320</v>
      </c>
    </row>
    <row r="71" s="18" customFormat="true" ht="27.75" hidden="true" customHeight="true" spans="1:23">
      <c r="A71" s="40">
        <v>9</v>
      </c>
      <c r="B71" s="49" t="s">
        <v>79</v>
      </c>
      <c r="C71" s="50">
        <v>22493</v>
      </c>
      <c r="D71" s="51">
        <f>C71*C3/C7</f>
        <v>26.7432986368169</v>
      </c>
      <c r="E71" s="67">
        <v>15875</v>
      </c>
      <c r="F71" s="65">
        <f t="shared" si="20"/>
        <v>0.987155068063979</v>
      </c>
      <c r="G71" s="51">
        <f>F71*$E$3/$F$7</f>
        <v>195.111779882297</v>
      </c>
      <c r="H71" s="51">
        <f t="shared" si="11"/>
        <v>62.9224719101124</v>
      </c>
      <c r="I71" s="51">
        <v>0</v>
      </c>
      <c r="J71" s="51">
        <f>I71*$I$3/$I$7</f>
        <v>0</v>
      </c>
      <c r="K71" s="77">
        <v>0</v>
      </c>
      <c r="L71" s="51">
        <f>K71*$K$3/$K$7</f>
        <v>0</v>
      </c>
      <c r="M71" s="77">
        <v>2</v>
      </c>
      <c r="N71" s="51">
        <f>M71*$M$3/$M$7</f>
        <v>62.9224719101124</v>
      </c>
      <c r="O71" s="51">
        <f t="shared" si="10"/>
        <v>64.5923917730252</v>
      </c>
      <c r="P71" s="85">
        <f>1/1.5</f>
        <v>0.666666666666667</v>
      </c>
      <c r="Q71" s="51">
        <f>P71*$P$3/$P$7</f>
        <v>26.9235576923077</v>
      </c>
      <c r="R71" s="85">
        <v>1</v>
      </c>
      <c r="S71" s="51">
        <f>R71*$R$3/$R$7</f>
        <v>37.6688340807175</v>
      </c>
      <c r="T71" s="77">
        <f t="shared" si="3"/>
        <v>349.369942202251</v>
      </c>
      <c r="U71" s="77"/>
      <c r="V71" s="85"/>
      <c r="W71" s="77">
        <v>349</v>
      </c>
    </row>
    <row r="72" s="19" customFormat="true" ht="27.75" customHeight="true" spans="1:23">
      <c r="A72" s="48" t="s">
        <v>80</v>
      </c>
      <c r="B72" s="48" t="s">
        <v>81</v>
      </c>
      <c r="C72" s="46">
        <f>SUM(C73:C81)</f>
        <v>2086351</v>
      </c>
      <c r="D72" s="47">
        <f>SUM(D73:D81)</f>
        <v>2480.58986592369</v>
      </c>
      <c r="E72" s="46">
        <f>SUM(E73:E81)</f>
        <v>116028</v>
      </c>
      <c r="F72" s="64">
        <f>SUM(F73:F81)</f>
        <v>8.90611831416236</v>
      </c>
      <c r="G72" s="47">
        <f>SUM(G73:G81)</f>
        <v>1760.29952368732</v>
      </c>
      <c r="H72" s="47">
        <f t="shared" si="11"/>
        <v>787.865500581012</v>
      </c>
      <c r="I72" s="47">
        <f>I80+I81</f>
        <v>263.8</v>
      </c>
      <c r="J72" s="47">
        <f>SUM(J73:J81)</f>
        <v>503.8781979568</v>
      </c>
      <c r="K72" s="46">
        <f>SUM(K73:K81)</f>
        <v>17</v>
      </c>
      <c r="L72" s="47">
        <f>SUM(L73:L81)</f>
        <v>158.142358803987</v>
      </c>
      <c r="M72" s="76">
        <f>SUM(M73:M81)</f>
        <v>4</v>
      </c>
      <c r="N72" s="47">
        <f>SUM(N73:N81)</f>
        <v>125.844943820225</v>
      </c>
      <c r="O72" s="47">
        <f t="shared" ref="O72:O108" si="21">Q72+S72</f>
        <v>636.08414216109</v>
      </c>
      <c r="P72" s="84">
        <f>SUM(P73:P81)</f>
        <v>7.66666666666667</v>
      </c>
      <c r="Q72" s="47">
        <f>SUM(Q73:Q81)</f>
        <v>309.620913461539</v>
      </c>
      <c r="R72" s="84">
        <f>SUM(R73:R81)</f>
        <v>8.66666666666667</v>
      </c>
      <c r="S72" s="47">
        <f>SUM(S73:S81)</f>
        <v>326.463228699552</v>
      </c>
      <c r="T72" s="76">
        <f t="shared" ref="T72:T108" si="22">D72+G72+H72+O72</f>
        <v>5664.83903235311</v>
      </c>
      <c r="U72" s="76"/>
      <c r="V72" s="76"/>
      <c r="W72" s="76">
        <v>5665</v>
      </c>
    </row>
    <row r="73" s="18" customFormat="true" ht="27.75" hidden="true" customHeight="true" spans="1:23">
      <c r="A73" s="40">
        <v>1</v>
      </c>
      <c r="B73" s="49" t="s">
        <v>82</v>
      </c>
      <c r="C73" s="50">
        <v>313266</v>
      </c>
      <c r="D73" s="51">
        <f>C73*C3/C7</f>
        <v>372.461040802076</v>
      </c>
      <c r="E73" s="50">
        <v>14152</v>
      </c>
      <c r="F73" s="65">
        <f>IF((E73/$E$7)&gt;1,ABS(1-E73/$E$7-1),1-E73/$E$7)</f>
        <v>0.988549198314421</v>
      </c>
      <c r="G73" s="51">
        <f>F73*$E$3/$F$7</f>
        <v>195.387330546374</v>
      </c>
      <c r="H73" s="51">
        <f t="shared" ref="H73:H108" si="23">J73+L73+N73</f>
        <v>0</v>
      </c>
      <c r="I73" s="51">
        <v>0</v>
      </c>
      <c r="J73" s="51">
        <f>I73*$I$3/$I$7</f>
        <v>0</v>
      </c>
      <c r="K73" s="77">
        <v>0</v>
      </c>
      <c r="L73" s="51">
        <f>K73*$K$3/$K$7</f>
        <v>0</v>
      </c>
      <c r="M73" s="77"/>
      <c r="N73" s="51">
        <f>M73*$M$3/$M$7</f>
        <v>0</v>
      </c>
      <c r="O73" s="51">
        <f t="shared" si="21"/>
        <v>78.054170619179</v>
      </c>
      <c r="P73" s="85">
        <v>1</v>
      </c>
      <c r="Q73" s="51">
        <f>P73*$P$3/$P$7</f>
        <v>40.3853365384615</v>
      </c>
      <c r="R73" s="85">
        <v>1</v>
      </c>
      <c r="S73" s="51">
        <f>R73*$R$3/$R$7</f>
        <v>37.6688340807175</v>
      </c>
      <c r="T73" s="77">
        <f t="shared" si="22"/>
        <v>645.902541967629</v>
      </c>
      <c r="U73" s="77"/>
      <c r="V73" s="77"/>
      <c r="W73" s="77">
        <v>646</v>
      </c>
    </row>
    <row r="74" s="18" customFormat="true" ht="27.75" hidden="true" customHeight="true" spans="1:23">
      <c r="A74" s="40">
        <v>2</v>
      </c>
      <c r="B74" s="49" t="s">
        <v>83</v>
      </c>
      <c r="C74" s="50">
        <v>440466</v>
      </c>
      <c r="D74" s="51">
        <f>C74*C3/C7</f>
        <v>523.696873576855</v>
      </c>
      <c r="E74" s="50">
        <v>13206</v>
      </c>
      <c r="F74" s="65">
        <f t="shared" ref="F74:F81" si="24">IF((E74/$E$7)&gt;1,ABS(1-E74/$E$7-1),1-E74/$E$7)</f>
        <v>0.989314634888372</v>
      </c>
      <c r="G74" s="51">
        <f>F74*$E$3/$F$7</f>
        <v>195.538619535472</v>
      </c>
      <c r="H74" s="51">
        <f t="shared" si="23"/>
        <v>31.4612359550562</v>
      </c>
      <c r="I74" s="51">
        <v>0</v>
      </c>
      <c r="J74" s="51">
        <f>I74*$I$3/$I$7</f>
        <v>0</v>
      </c>
      <c r="K74" s="77">
        <v>0</v>
      </c>
      <c r="L74" s="51">
        <f>K74*$K$3/$K$7</f>
        <v>0</v>
      </c>
      <c r="M74" s="77">
        <v>1</v>
      </c>
      <c r="N74" s="51">
        <f>M74*$M$3/$M$7</f>
        <v>31.4612359550562</v>
      </c>
      <c r="O74" s="51">
        <f t="shared" si="21"/>
        <v>64.5923917730252</v>
      </c>
      <c r="P74" s="85">
        <f>1/1.5</f>
        <v>0.666666666666667</v>
      </c>
      <c r="Q74" s="51">
        <f>P74*$P$3/$P$7</f>
        <v>26.9235576923077</v>
      </c>
      <c r="R74" s="85">
        <v>1</v>
      </c>
      <c r="S74" s="51">
        <f>R74*$R$3/$R$7</f>
        <v>37.6688340807175</v>
      </c>
      <c r="T74" s="77">
        <f t="shared" si="22"/>
        <v>815.289120840408</v>
      </c>
      <c r="U74" s="77"/>
      <c r="V74" s="77"/>
      <c r="W74" s="77">
        <v>815</v>
      </c>
    </row>
    <row r="75" s="18" customFormat="true" ht="27.75" hidden="true" customHeight="true" spans="1:23">
      <c r="A75" s="40">
        <v>3</v>
      </c>
      <c r="B75" s="49" t="s">
        <v>84</v>
      </c>
      <c r="C75" s="50">
        <v>229461</v>
      </c>
      <c r="D75" s="51">
        <f>C75*C3/C7</f>
        <v>272.820168430296</v>
      </c>
      <c r="E75" s="50">
        <v>14260</v>
      </c>
      <c r="F75" s="65">
        <f t="shared" si="24"/>
        <v>0.988461812320778</v>
      </c>
      <c r="G75" s="51">
        <f>F75*$E$3/$F$7</f>
        <v>195.370058653327</v>
      </c>
      <c r="H75" s="51">
        <f t="shared" si="23"/>
        <v>0</v>
      </c>
      <c r="I75" s="51">
        <v>0</v>
      </c>
      <c r="J75" s="51">
        <f>I75*$I$3/$I$7</f>
        <v>0</v>
      </c>
      <c r="K75" s="77">
        <v>0</v>
      </c>
      <c r="L75" s="51">
        <f>K75*$K$3/$K$7</f>
        <v>0</v>
      </c>
      <c r="M75" s="77"/>
      <c r="N75" s="51">
        <f>M75*$M$3/$M$7</f>
        <v>0</v>
      </c>
      <c r="O75" s="51">
        <f t="shared" si="21"/>
        <v>65.4978925922732</v>
      </c>
      <c r="P75" s="85">
        <v>1</v>
      </c>
      <c r="Q75" s="51">
        <f>P75*$P$3/$P$7</f>
        <v>40.3853365384615</v>
      </c>
      <c r="R75" s="85">
        <f>1/1.5</f>
        <v>0.666666666666667</v>
      </c>
      <c r="S75" s="51">
        <f>R75*$R$3/$R$7</f>
        <v>25.1125560538117</v>
      </c>
      <c r="T75" s="77">
        <f t="shared" si="22"/>
        <v>533.688119675896</v>
      </c>
      <c r="U75" s="77"/>
      <c r="V75" s="77"/>
      <c r="W75" s="77">
        <v>534</v>
      </c>
    </row>
    <row r="76" s="18" customFormat="true" ht="27.75" hidden="true" customHeight="true" spans="1:23">
      <c r="A76" s="40">
        <v>4</v>
      </c>
      <c r="B76" s="49" t="s">
        <v>85</v>
      </c>
      <c r="C76" s="50">
        <v>183248</v>
      </c>
      <c r="D76" s="51">
        <f>C76*C3/C7</f>
        <v>217.874716071641</v>
      </c>
      <c r="E76" s="50">
        <v>14221</v>
      </c>
      <c r="F76" s="65">
        <f t="shared" si="24"/>
        <v>0.988493368374038</v>
      </c>
      <c r="G76" s="51">
        <f>F76*$E$3/$F$7</f>
        <v>195.376295725816</v>
      </c>
      <c r="H76" s="51">
        <f t="shared" si="23"/>
        <v>31.4612359550562</v>
      </c>
      <c r="I76" s="51">
        <v>0</v>
      </c>
      <c r="J76" s="51">
        <f>I76*$I$3/$I$7</f>
        <v>0</v>
      </c>
      <c r="K76" s="77">
        <v>0</v>
      </c>
      <c r="L76" s="51">
        <f>K76*$K$3/$K$7</f>
        <v>0</v>
      </c>
      <c r="M76" s="77">
        <v>1</v>
      </c>
      <c r="N76" s="51">
        <f>M76*$M$3/$M$7</f>
        <v>31.4612359550562</v>
      </c>
      <c r="O76" s="51">
        <f t="shared" si="21"/>
        <v>64.5923917730252</v>
      </c>
      <c r="P76" s="85">
        <f>1/1.5</f>
        <v>0.666666666666667</v>
      </c>
      <c r="Q76" s="51">
        <f>P76*$P$3/$P$7</f>
        <v>26.9235576923077</v>
      </c>
      <c r="R76" s="85">
        <v>1</v>
      </c>
      <c r="S76" s="51">
        <f>R76*$R$3/$R$7</f>
        <v>37.6688340807175</v>
      </c>
      <c r="T76" s="77">
        <f t="shared" si="22"/>
        <v>509.304639525538</v>
      </c>
      <c r="U76" s="77"/>
      <c r="V76" s="77"/>
      <c r="W76" s="77">
        <v>509</v>
      </c>
    </row>
    <row r="77" s="18" customFormat="true" ht="27.75" customHeight="true" spans="1:23">
      <c r="A77" s="40">
        <v>5</v>
      </c>
      <c r="B77" s="49" t="s">
        <v>86</v>
      </c>
      <c r="C77" s="50">
        <v>214666</v>
      </c>
      <c r="D77" s="51">
        <f>C77*C3/C7</f>
        <v>255.229491182632</v>
      </c>
      <c r="E77" s="50">
        <v>13709</v>
      </c>
      <c r="F77" s="65">
        <f t="shared" si="24"/>
        <v>0.988907642714274</v>
      </c>
      <c r="G77" s="51">
        <f>F77*$E$3/$F$7</f>
        <v>195.458177292854</v>
      </c>
      <c r="H77" s="51">
        <f t="shared" si="23"/>
        <v>9.30249169435216</v>
      </c>
      <c r="I77" s="51">
        <v>0</v>
      </c>
      <c r="J77" s="51">
        <f>I77*$I$3/$I$7</f>
        <v>0</v>
      </c>
      <c r="K77" s="77">
        <v>1</v>
      </c>
      <c r="L77" s="51">
        <f>K77*$K$3/$K$7</f>
        <v>9.30249169435216</v>
      </c>
      <c r="M77" s="77"/>
      <c r="N77" s="51">
        <f>M77*$M$3/$M$7</f>
        <v>0</v>
      </c>
      <c r="O77" s="51">
        <f t="shared" si="21"/>
        <v>78.054170619179</v>
      </c>
      <c r="P77" s="85">
        <v>1</v>
      </c>
      <c r="Q77" s="51">
        <f>P77*$P$3/$P$7</f>
        <v>40.3853365384615</v>
      </c>
      <c r="R77" s="85">
        <v>1</v>
      </c>
      <c r="S77" s="51">
        <f>R77*$R$3/$R$7</f>
        <v>37.6688340807175</v>
      </c>
      <c r="T77" s="77">
        <f t="shared" si="22"/>
        <v>538.044330789017</v>
      </c>
      <c r="U77" s="77"/>
      <c r="V77" s="77"/>
      <c r="W77" s="77">
        <v>538</v>
      </c>
    </row>
    <row r="78" s="18" customFormat="true" ht="27.75" hidden="true" customHeight="true" spans="1:23">
      <c r="A78" s="40">
        <v>6</v>
      </c>
      <c r="B78" s="49" t="s">
        <v>87</v>
      </c>
      <c r="C78" s="50">
        <v>226120</v>
      </c>
      <c r="D78" s="51">
        <f>C78*C3/C7</f>
        <v>268.847849898059</v>
      </c>
      <c r="E78" s="50">
        <v>13683</v>
      </c>
      <c r="F78" s="65">
        <f t="shared" si="24"/>
        <v>0.988928680083114</v>
      </c>
      <c r="G78" s="51">
        <f>F78*$E$3/$F$7</f>
        <v>195.46233534118</v>
      </c>
      <c r="H78" s="51">
        <f t="shared" si="23"/>
        <v>31.4612359550562</v>
      </c>
      <c r="I78" s="51">
        <v>0</v>
      </c>
      <c r="J78" s="51">
        <f>I78*$I$3/$I$7</f>
        <v>0</v>
      </c>
      <c r="K78" s="77">
        <v>0</v>
      </c>
      <c r="L78" s="51">
        <f>K78*$K$3/$K$7</f>
        <v>0</v>
      </c>
      <c r="M78" s="77">
        <v>1</v>
      </c>
      <c r="N78" s="51">
        <f>M78*$M$3/$M$7</f>
        <v>31.4612359550562</v>
      </c>
      <c r="O78" s="51">
        <f t="shared" si="21"/>
        <v>78.054170619179</v>
      </c>
      <c r="P78" s="85">
        <v>1</v>
      </c>
      <c r="Q78" s="51">
        <f>P78*$P$3/$P$7</f>
        <v>40.3853365384615</v>
      </c>
      <c r="R78" s="85">
        <v>1</v>
      </c>
      <c r="S78" s="51">
        <f>R78*$R$3/$R$7</f>
        <v>37.6688340807175</v>
      </c>
      <c r="T78" s="77">
        <f t="shared" si="22"/>
        <v>573.825591813474</v>
      </c>
      <c r="U78" s="77"/>
      <c r="V78" s="77"/>
      <c r="W78" s="77">
        <v>574</v>
      </c>
    </row>
    <row r="79" s="18" customFormat="true" ht="27.75" hidden="true" customHeight="true" spans="1:23">
      <c r="A79" s="40">
        <v>7</v>
      </c>
      <c r="B79" s="49" t="s">
        <v>88</v>
      </c>
      <c r="C79" s="50">
        <v>54188</v>
      </c>
      <c r="D79" s="51">
        <f>C79*C3/C7</f>
        <v>64.4274159308156</v>
      </c>
      <c r="E79" s="50">
        <v>9258</v>
      </c>
      <c r="F79" s="65">
        <f t="shared" si="24"/>
        <v>0.992509078433784</v>
      </c>
      <c r="G79" s="51">
        <f>F79*$E$3/$F$7</f>
        <v>196.170003181307</v>
      </c>
      <c r="H79" s="51">
        <f t="shared" si="23"/>
        <v>0</v>
      </c>
      <c r="I79" s="51">
        <v>0</v>
      </c>
      <c r="J79" s="51">
        <f>I79*$I$3/$I$7</f>
        <v>0</v>
      </c>
      <c r="K79" s="77">
        <v>0</v>
      </c>
      <c r="L79" s="51">
        <f>K79*$K$3/$K$7</f>
        <v>0</v>
      </c>
      <c r="M79" s="77"/>
      <c r="N79" s="51">
        <f>M79*$M$3/$M$7</f>
        <v>0</v>
      </c>
      <c r="O79" s="51">
        <f t="shared" si="21"/>
        <v>78.054170619179</v>
      </c>
      <c r="P79" s="85">
        <v>1</v>
      </c>
      <c r="Q79" s="51">
        <f>P79*$P$3/$P$7</f>
        <v>40.3853365384615</v>
      </c>
      <c r="R79" s="85">
        <v>1</v>
      </c>
      <c r="S79" s="51">
        <f>R79*$R$3/$R$7</f>
        <v>37.6688340807175</v>
      </c>
      <c r="T79" s="77">
        <f t="shared" si="22"/>
        <v>338.651589731302</v>
      </c>
      <c r="U79" s="77"/>
      <c r="V79" s="77"/>
      <c r="W79" s="77">
        <v>339</v>
      </c>
    </row>
    <row r="80" s="18" customFormat="true" ht="27.75" customHeight="true" spans="1:23">
      <c r="A80" s="40">
        <v>8</v>
      </c>
      <c r="B80" s="49" t="s">
        <v>89</v>
      </c>
      <c r="C80" s="50">
        <v>202967</v>
      </c>
      <c r="D80" s="51">
        <f>C80*C3/C7</f>
        <v>241.319837034581</v>
      </c>
      <c r="E80" s="50">
        <v>14221</v>
      </c>
      <c r="F80" s="65">
        <f t="shared" si="24"/>
        <v>0.988493368374038</v>
      </c>
      <c r="G80" s="51">
        <f>F80*$E$3/$F$7</f>
        <v>195.376295725816</v>
      </c>
      <c r="H80" s="51">
        <f t="shared" si="23"/>
        <v>306.933135042159</v>
      </c>
      <c r="I80" s="51">
        <v>126.6</v>
      </c>
      <c r="J80" s="51">
        <f>I80*$I$3/$I$7</f>
        <v>241.815693181694</v>
      </c>
      <c r="K80" s="77">
        <v>7</v>
      </c>
      <c r="L80" s="51">
        <f>K80*$K$3/$K$7</f>
        <v>65.1174418604651</v>
      </c>
      <c r="M80" s="77"/>
      <c r="N80" s="51">
        <f>M80*$M$3/$M$7</f>
        <v>0</v>
      </c>
      <c r="O80" s="51">
        <f t="shared" si="21"/>
        <v>64.5923917730252</v>
      </c>
      <c r="P80" s="85">
        <f>1/1.5</f>
        <v>0.666666666666667</v>
      </c>
      <c r="Q80" s="51">
        <f>P80*$P$3/$P$7</f>
        <v>26.9235576923077</v>
      </c>
      <c r="R80" s="85">
        <v>1</v>
      </c>
      <c r="S80" s="51">
        <f>R80*$R$3/$R$7</f>
        <v>37.6688340807175</v>
      </c>
      <c r="T80" s="77">
        <f t="shared" si="22"/>
        <v>808.221659575581</v>
      </c>
      <c r="U80" s="77"/>
      <c r="V80" s="77"/>
      <c r="W80" s="77">
        <v>808</v>
      </c>
    </row>
    <row r="81" s="18" customFormat="true" ht="27.75" customHeight="true" spans="1:23">
      <c r="A81" s="40">
        <v>9</v>
      </c>
      <c r="B81" s="49" t="s">
        <v>90</v>
      </c>
      <c r="C81" s="50">
        <v>221969</v>
      </c>
      <c r="D81" s="51">
        <f>C81*C3/C7</f>
        <v>263.912472996737</v>
      </c>
      <c r="E81" s="50">
        <v>9318</v>
      </c>
      <c r="F81" s="65">
        <f t="shared" si="24"/>
        <v>0.992460530659538</v>
      </c>
      <c r="G81" s="51">
        <f>F81*$E$3/$F$7</f>
        <v>196.16040768517</v>
      </c>
      <c r="H81" s="51">
        <f t="shared" si="23"/>
        <v>377.246165979332</v>
      </c>
      <c r="I81" s="51">
        <v>137.2</v>
      </c>
      <c r="J81" s="51">
        <f>I81*$I$3/$I$7</f>
        <v>262.062504775106</v>
      </c>
      <c r="K81" s="77">
        <v>9</v>
      </c>
      <c r="L81" s="51">
        <f>K81*$K$3/$K$7</f>
        <v>83.7224252491694</v>
      </c>
      <c r="M81" s="77">
        <v>1</v>
      </c>
      <c r="N81" s="51">
        <f>M81*$M$3/$M$7</f>
        <v>31.4612359550562</v>
      </c>
      <c r="O81" s="51">
        <f t="shared" si="21"/>
        <v>64.5923917730252</v>
      </c>
      <c r="P81" s="85">
        <f>1/1.5</f>
        <v>0.666666666666667</v>
      </c>
      <c r="Q81" s="51">
        <f>P81*$P$3/$P$7</f>
        <v>26.9235576923077</v>
      </c>
      <c r="R81" s="85">
        <v>1</v>
      </c>
      <c r="S81" s="51">
        <f>R81*$R$3/$R$7</f>
        <v>37.6688340807175</v>
      </c>
      <c r="T81" s="77">
        <f t="shared" si="22"/>
        <v>901.911438434264</v>
      </c>
      <c r="U81" s="77"/>
      <c r="V81" s="77"/>
      <c r="W81" s="77">
        <v>902</v>
      </c>
    </row>
    <row r="82" s="19" customFormat="true" ht="27.75" customHeight="true" spans="1:23">
      <c r="A82" s="48" t="s">
        <v>91</v>
      </c>
      <c r="B82" s="45" t="s">
        <v>92</v>
      </c>
      <c r="C82" s="46">
        <f>SUM(C83:C86)</f>
        <v>585204</v>
      </c>
      <c r="D82" s="47">
        <f>SUM(D83:D86)</f>
        <v>695.784703483742</v>
      </c>
      <c r="E82" s="46">
        <f>SUM(E83:E86)</f>
        <v>32492</v>
      </c>
      <c r="F82" s="64">
        <f>SUM(F83:F86)</f>
        <v>3.97370976198645</v>
      </c>
      <c r="G82" s="47">
        <f>SUM(G83:G86)</f>
        <v>785.406071932951</v>
      </c>
      <c r="H82" s="47">
        <f t="shared" si="23"/>
        <v>3456.30517777698</v>
      </c>
      <c r="I82" s="47">
        <f>I83+I84+I85+I86</f>
        <v>1133.7</v>
      </c>
      <c r="J82" s="47">
        <f>SUM(J83:J86)</f>
        <v>2165.45380221237</v>
      </c>
      <c r="K82" s="46">
        <f>SUM(K83:K86)</f>
        <v>132</v>
      </c>
      <c r="L82" s="47">
        <f>SUM(L83:L86)</f>
        <v>1227.92890365449</v>
      </c>
      <c r="M82" s="76">
        <f>SUM(M83:M86)</f>
        <v>2</v>
      </c>
      <c r="N82" s="47">
        <f>SUM(N83:N86)</f>
        <v>62.9224719101124</v>
      </c>
      <c r="O82" s="47">
        <f t="shared" si="21"/>
        <v>286.198625603657</v>
      </c>
      <c r="P82" s="84">
        <f>SUM(P83:P86)</f>
        <v>3.66666666666667</v>
      </c>
      <c r="Q82" s="47">
        <f>SUM(Q83:Q86)</f>
        <v>148.079567307692</v>
      </c>
      <c r="R82" s="84">
        <f>SUM(R83:R86)</f>
        <v>3.66666666666667</v>
      </c>
      <c r="S82" s="47">
        <f>SUM(S83:S86)</f>
        <v>138.119058295964</v>
      </c>
      <c r="T82" s="76">
        <f t="shared" si="22"/>
        <v>5223.69457879733</v>
      </c>
      <c r="U82" s="76"/>
      <c r="V82" s="76"/>
      <c r="W82" s="76">
        <v>5224</v>
      </c>
    </row>
    <row r="83" s="18" customFormat="true" ht="27.75" customHeight="true" spans="1:23">
      <c r="A83" s="40">
        <v>1</v>
      </c>
      <c r="B83" s="49" t="s">
        <v>93</v>
      </c>
      <c r="C83" s="50">
        <v>264757</v>
      </c>
      <c r="D83" s="51">
        <f>C83*C3/C7</f>
        <v>314.785734103398</v>
      </c>
      <c r="E83" s="99">
        <v>8775</v>
      </c>
      <c r="F83" s="65">
        <f t="shared" ref="F83:F88" si="25">IF((E83/$E$7)&gt;1,ABS(1-E83/$E$7-1),1-E83/$E$7)</f>
        <v>0.992899888016467</v>
      </c>
      <c r="G83" s="51">
        <f>F83*$E$3/$F$7</f>
        <v>196.247246925212</v>
      </c>
      <c r="H83" s="51">
        <f t="shared" si="23"/>
        <v>354.518586956754</v>
      </c>
      <c r="I83" s="51">
        <v>88.2</v>
      </c>
      <c r="J83" s="51">
        <f>I83*$I$3/$I$7</f>
        <v>168.468753069711</v>
      </c>
      <c r="K83" s="77">
        <v>20</v>
      </c>
      <c r="L83" s="51">
        <f>K83*$K$3/$K$7</f>
        <v>186.049833887043</v>
      </c>
      <c r="M83" s="77"/>
      <c r="N83" s="51">
        <f>M83*$M$3/$M$7</f>
        <v>0</v>
      </c>
      <c r="O83" s="51">
        <f t="shared" si="21"/>
        <v>65.4978925922732</v>
      </c>
      <c r="P83" s="85">
        <v>1</v>
      </c>
      <c r="Q83" s="51">
        <f>P83*$P$3/$P$7</f>
        <v>40.3853365384615</v>
      </c>
      <c r="R83" s="85">
        <f>1/1.5</f>
        <v>0.666666666666667</v>
      </c>
      <c r="S83" s="51">
        <f>R83*$R$3/$R$7</f>
        <v>25.1125560538117</v>
      </c>
      <c r="T83" s="77">
        <f t="shared" si="22"/>
        <v>931.049460577637</v>
      </c>
      <c r="U83" s="77"/>
      <c r="V83" s="85"/>
      <c r="W83" s="77">
        <v>931</v>
      </c>
    </row>
    <row r="84" s="18" customFormat="true" ht="27.75" customHeight="true" spans="1:23">
      <c r="A84" s="40">
        <v>2</v>
      </c>
      <c r="B84" s="49" t="s">
        <v>94</v>
      </c>
      <c r="C84" s="50">
        <v>226261</v>
      </c>
      <c r="D84" s="51">
        <f>C84*C3/C7</f>
        <v>269.015493391937</v>
      </c>
      <c r="E84" s="99">
        <v>7303</v>
      </c>
      <c r="F84" s="65">
        <f t="shared" si="25"/>
        <v>0.994090926744645</v>
      </c>
      <c r="G84" s="51">
        <f>F84*$E$3/$F$7</f>
        <v>196.482656430448</v>
      </c>
      <c r="H84" s="51">
        <f t="shared" si="23"/>
        <v>1123.18667595946</v>
      </c>
      <c r="I84" s="51">
        <v>315.3</v>
      </c>
      <c r="J84" s="51">
        <f>I84*$I$3/$I$7</f>
        <v>602.247141075736</v>
      </c>
      <c r="K84" s="77">
        <v>56</v>
      </c>
      <c r="L84" s="51">
        <f>K84*$K$3/$K$7</f>
        <v>520.939534883721</v>
      </c>
      <c r="M84" s="77"/>
      <c r="N84" s="51">
        <f>M84*$M$3/$M$7</f>
        <v>0</v>
      </c>
      <c r="O84" s="51">
        <f t="shared" si="21"/>
        <v>78.054170619179</v>
      </c>
      <c r="P84" s="85">
        <v>1</v>
      </c>
      <c r="Q84" s="51">
        <f>P84*$P$3/$P$7</f>
        <v>40.3853365384615</v>
      </c>
      <c r="R84" s="85">
        <v>1</v>
      </c>
      <c r="S84" s="51">
        <f>R84*$R$3/$R$7</f>
        <v>37.6688340807175</v>
      </c>
      <c r="T84" s="77">
        <f t="shared" si="22"/>
        <v>1666.73899640102</v>
      </c>
      <c r="U84" s="77"/>
      <c r="V84" s="77"/>
      <c r="W84" s="77">
        <v>1667</v>
      </c>
    </row>
    <row r="85" s="18" customFormat="true" ht="27.75" customHeight="true" spans="1:23">
      <c r="A85" s="40">
        <v>3</v>
      </c>
      <c r="B85" s="49" t="s">
        <v>95</v>
      </c>
      <c r="C85" s="50">
        <v>52729</v>
      </c>
      <c r="D85" s="51">
        <f>C85*C3/C7</f>
        <v>62.6927219055137</v>
      </c>
      <c r="E85" s="99">
        <v>7749</v>
      </c>
      <c r="F85" s="65">
        <f t="shared" si="25"/>
        <v>0.99373005495608</v>
      </c>
      <c r="G85" s="51">
        <f>F85*$E$3/$F$7</f>
        <v>196.41132990916</v>
      </c>
      <c r="H85" s="51">
        <f t="shared" si="23"/>
        <v>828.56492034673</v>
      </c>
      <c r="I85" s="51">
        <v>305.3</v>
      </c>
      <c r="J85" s="51">
        <f>I85*$I$3/$I$7</f>
        <v>583.146375421574</v>
      </c>
      <c r="K85" s="77">
        <v>23</v>
      </c>
      <c r="L85" s="51">
        <f>K85*$K$3/$K$7</f>
        <v>213.9573089701</v>
      </c>
      <c r="M85" s="77">
        <v>1</v>
      </c>
      <c r="N85" s="51">
        <f>M85*$M$3/$M$7</f>
        <v>31.4612359550562</v>
      </c>
      <c r="O85" s="51">
        <f t="shared" si="21"/>
        <v>78.054170619179</v>
      </c>
      <c r="P85" s="85">
        <v>1</v>
      </c>
      <c r="Q85" s="51">
        <f>P85*$P$3/$P$7</f>
        <v>40.3853365384615</v>
      </c>
      <c r="R85" s="85">
        <v>1</v>
      </c>
      <c r="S85" s="51">
        <f>R85*$R$3/$R$7</f>
        <v>37.6688340807175</v>
      </c>
      <c r="T85" s="77">
        <f t="shared" si="22"/>
        <v>1165.72314278058</v>
      </c>
      <c r="U85" s="77"/>
      <c r="V85" s="77"/>
      <c r="W85" s="77">
        <v>1166</v>
      </c>
    </row>
    <row r="86" s="18" customFormat="true" ht="27.75" customHeight="true" spans="1:23">
      <c r="A86" s="40">
        <v>4</v>
      </c>
      <c r="B86" s="49" t="s">
        <v>96</v>
      </c>
      <c r="C86" s="50">
        <v>41457</v>
      </c>
      <c r="D86" s="51">
        <f>C86*C3/C7</f>
        <v>49.2907540828933</v>
      </c>
      <c r="E86" s="99">
        <v>8665</v>
      </c>
      <c r="F86" s="65">
        <f t="shared" si="25"/>
        <v>0.992988892269252</v>
      </c>
      <c r="G86" s="51">
        <f>F86*$E$3/$F$7</f>
        <v>196.264838668131</v>
      </c>
      <c r="H86" s="51">
        <f t="shared" si="23"/>
        <v>1150.03499451403</v>
      </c>
      <c r="I86" s="51">
        <v>424.9</v>
      </c>
      <c r="J86" s="51">
        <f>I86*$I$3/$I$7</f>
        <v>811.591532645354</v>
      </c>
      <c r="K86" s="77">
        <v>33</v>
      </c>
      <c r="L86" s="51">
        <f>K86*$K$3/$K$7</f>
        <v>306.982225913621</v>
      </c>
      <c r="M86" s="77">
        <v>1</v>
      </c>
      <c r="N86" s="51">
        <f>M86*$M$3/$M$7</f>
        <v>31.4612359550562</v>
      </c>
      <c r="O86" s="51">
        <f t="shared" si="21"/>
        <v>64.5923917730252</v>
      </c>
      <c r="P86" s="85">
        <f>1/1.5</f>
        <v>0.666666666666667</v>
      </c>
      <c r="Q86" s="51">
        <f>P86*$P$3/$P$7</f>
        <v>26.9235576923077</v>
      </c>
      <c r="R86" s="85">
        <v>1</v>
      </c>
      <c r="S86" s="51">
        <f>R86*$R$3/$R$7</f>
        <v>37.6688340807175</v>
      </c>
      <c r="T86" s="77">
        <f t="shared" si="22"/>
        <v>1460.18297903808</v>
      </c>
      <c r="U86" s="77"/>
      <c r="V86" s="85"/>
      <c r="W86" s="77">
        <v>1460</v>
      </c>
    </row>
    <row r="87" s="19" customFormat="true" ht="27.75" customHeight="true" spans="1:23">
      <c r="A87" s="48" t="s">
        <v>97</v>
      </c>
      <c r="B87" s="48" t="s">
        <v>98</v>
      </c>
      <c r="C87" s="46">
        <f>SUM(C88:C99)</f>
        <v>4355235</v>
      </c>
      <c r="D87" s="47">
        <f>SUM(D88:D99)</f>
        <v>5178.20434084014</v>
      </c>
      <c r="E87" s="46">
        <f>SUM(E88:E99)</f>
        <v>114470</v>
      </c>
      <c r="F87" s="64">
        <f>SUM(F88:F99)</f>
        <v>11.9073789380336</v>
      </c>
      <c r="G87" s="47">
        <f>SUM(G88:G99)</f>
        <v>2353.5004514429</v>
      </c>
      <c r="H87" s="47">
        <f t="shared" si="23"/>
        <v>2512.0376486227</v>
      </c>
      <c r="I87" s="47">
        <f>I98+I99</f>
        <v>895.6</v>
      </c>
      <c r="J87" s="47">
        <f>SUM(J88:J99)</f>
        <v>1710.66457198677</v>
      </c>
      <c r="K87" s="46">
        <f>SUM(K88:K99)</f>
        <v>76</v>
      </c>
      <c r="L87" s="47">
        <f>SUM(L88:L99)</f>
        <v>706.989368770764</v>
      </c>
      <c r="M87" s="76">
        <f>SUM(M88:M99)</f>
        <v>3</v>
      </c>
      <c r="N87" s="47">
        <f>SUM(N88:N99)</f>
        <v>94.3837078651685</v>
      </c>
      <c r="O87" s="47">
        <f t="shared" si="21"/>
        <v>910.631990557089</v>
      </c>
      <c r="P87" s="84">
        <f>SUM(P88:P99)</f>
        <v>11.6666666666667</v>
      </c>
      <c r="Q87" s="47">
        <f>SUM(Q88:Q99)</f>
        <v>471.162259615385</v>
      </c>
      <c r="R87" s="84">
        <f>SUM(R88:R99)</f>
        <v>11.6666666666667</v>
      </c>
      <c r="S87" s="47">
        <f>SUM(S88:S99)</f>
        <v>439.469730941704</v>
      </c>
      <c r="T87" s="76">
        <f t="shared" si="22"/>
        <v>10954.3744314628</v>
      </c>
      <c r="U87" s="76"/>
      <c r="V87" s="76"/>
      <c r="W87" s="76">
        <v>10954</v>
      </c>
    </row>
    <row r="88" s="18" customFormat="true" ht="27.75" hidden="true" customHeight="true" spans="1:23">
      <c r="A88" s="40">
        <v>1</v>
      </c>
      <c r="B88" s="49" t="s">
        <v>99</v>
      </c>
      <c r="C88" s="50">
        <v>563811</v>
      </c>
      <c r="D88" s="51">
        <f>C88*C3/C7</f>
        <v>670.349261891361</v>
      </c>
      <c r="E88" s="50">
        <v>10971</v>
      </c>
      <c r="F88" s="65">
        <f t="shared" si="25"/>
        <v>0.99112303947905</v>
      </c>
      <c r="G88" s="51">
        <f>F88*$E$3/$F$7</f>
        <v>195.896051766587</v>
      </c>
      <c r="H88" s="51">
        <f t="shared" si="23"/>
        <v>0</v>
      </c>
      <c r="I88" s="51">
        <v>0</v>
      </c>
      <c r="J88" s="51">
        <f>I88*$I$3/$I$7</f>
        <v>0</v>
      </c>
      <c r="K88" s="77">
        <v>0</v>
      </c>
      <c r="L88" s="51">
        <f>K88*$K$3/$K$7</f>
        <v>0</v>
      </c>
      <c r="M88" s="77"/>
      <c r="N88" s="51">
        <f>M88*$M$3/$M$7</f>
        <v>0</v>
      </c>
      <c r="O88" s="51">
        <f t="shared" si="21"/>
        <v>78.054170619179</v>
      </c>
      <c r="P88" s="85">
        <v>1</v>
      </c>
      <c r="Q88" s="51">
        <f>P88*$P$3/$P$7</f>
        <v>40.3853365384615</v>
      </c>
      <c r="R88" s="85">
        <v>1</v>
      </c>
      <c r="S88" s="51">
        <f>R88*$R$3/$R$7</f>
        <v>37.6688340807175</v>
      </c>
      <c r="T88" s="77">
        <f t="shared" si="22"/>
        <v>944.299484277127</v>
      </c>
      <c r="U88" s="77"/>
      <c r="V88" s="77"/>
      <c r="W88" s="77">
        <v>944</v>
      </c>
    </row>
    <row r="89" s="18" customFormat="true" ht="27.75" customHeight="true" spans="1:23">
      <c r="A89" s="40">
        <v>2</v>
      </c>
      <c r="B89" s="49" t="s">
        <v>100</v>
      </c>
      <c r="C89" s="50">
        <v>279216</v>
      </c>
      <c r="D89" s="51">
        <f>C89*C3/C7</f>
        <v>331.976920472035</v>
      </c>
      <c r="E89" s="50">
        <v>8395</v>
      </c>
      <c r="F89" s="65">
        <f t="shared" ref="F89:F99" si="26">IF((E89/$E$7)&gt;1,ABS(1-E89/$E$7-1),1-E89/$E$7)</f>
        <v>0.993207357253361</v>
      </c>
      <c r="G89" s="51">
        <f>F89*$E$3/$F$7</f>
        <v>196.308018400749</v>
      </c>
      <c r="H89" s="51">
        <f t="shared" si="23"/>
        <v>37.2099667774086</v>
      </c>
      <c r="I89" s="51">
        <v>0</v>
      </c>
      <c r="J89" s="51">
        <f>I89*$I$3/$I$7</f>
        <v>0</v>
      </c>
      <c r="K89" s="77">
        <v>4</v>
      </c>
      <c r="L89" s="51">
        <f>K89*$K$3/$K$7</f>
        <v>37.2099667774086</v>
      </c>
      <c r="M89" s="77"/>
      <c r="N89" s="51">
        <f>M89*$M$3/$M$7</f>
        <v>0</v>
      </c>
      <c r="O89" s="51">
        <f t="shared" si="21"/>
        <v>78.054170619179</v>
      </c>
      <c r="P89" s="85">
        <v>1</v>
      </c>
      <c r="Q89" s="51">
        <f>P89*$P$3/$P$7</f>
        <v>40.3853365384615</v>
      </c>
      <c r="R89" s="85">
        <v>1</v>
      </c>
      <c r="S89" s="51">
        <f>R89*$R$3/$R$7</f>
        <v>37.6688340807175</v>
      </c>
      <c r="T89" s="77">
        <f t="shared" si="22"/>
        <v>643.549076269372</v>
      </c>
      <c r="U89" s="77"/>
      <c r="V89" s="77"/>
      <c r="W89" s="77">
        <v>644</v>
      </c>
    </row>
    <row r="90" s="18" customFormat="true" ht="27.75" customHeight="true" spans="1:23">
      <c r="A90" s="40">
        <v>3</v>
      </c>
      <c r="B90" s="49" t="s">
        <v>101</v>
      </c>
      <c r="C90" s="50">
        <v>365576</v>
      </c>
      <c r="D90" s="51">
        <f>C90*C3/C7</f>
        <v>434.655588069754</v>
      </c>
      <c r="E90" s="50">
        <v>9138</v>
      </c>
      <c r="F90" s="65">
        <f t="shared" si="26"/>
        <v>0.992606173982277</v>
      </c>
      <c r="G90" s="51">
        <f>F90*$E$3/$F$7</f>
        <v>196.189194173582</v>
      </c>
      <c r="H90" s="51">
        <f t="shared" si="23"/>
        <v>9.30249169435216</v>
      </c>
      <c r="I90" s="51">
        <v>0</v>
      </c>
      <c r="J90" s="51">
        <f>I90*$I$3/$I$7</f>
        <v>0</v>
      </c>
      <c r="K90" s="77">
        <v>1</v>
      </c>
      <c r="L90" s="51">
        <f>K90*$K$3/$K$7</f>
        <v>9.30249169435216</v>
      </c>
      <c r="M90" s="77"/>
      <c r="N90" s="51">
        <f>M90*$M$3/$M$7</f>
        <v>0</v>
      </c>
      <c r="O90" s="51">
        <f t="shared" si="21"/>
        <v>78.054170619179</v>
      </c>
      <c r="P90" s="85">
        <v>1</v>
      </c>
      <c r="Q90" s="51">
        <f>P90*$P$3/$P$7</f>
        <v>40.3853365384615</v>
      </c>
      <c r="R90" s="85">
        <v>1</v>
      </c>
      <c r="S90" s="51">
        <f>R90*$R$3/$R$7</f>
        <v>37.6688340807175</v>
      </c>
      <c r="T90" s="77">
        <f t="shared" si="22"/>
        <v>718.201444556867</v>
      </c>
      <c r="U90" s="77"/>
      <c r="V90" s="77"/>
      <c r="W90" s="77">
        <v>718</v>
      </c>
    </row>
    <row r="91" s="18" customFormat="true" ht="27.75" customHeight="true" spans="1:23">
      <c r="A91" s="40">
        <v>4</v>
      </c>
      <c r="B91" s="49" t="s">
        <v>102</v>
      </c>
      <c r="C91" s="50">
        <v>305441</v>
      </c>
      <c r="D91" s="51">
        <f>C91*C3/C7</f>
        <v>363.157421372338</v>
      </c>
      <c r="E91" s="50">
        <v>8915</v>
      </c>
      <c r="F91" s="65">
        <f t="shared" si="26"/>
        <v>0.992786609876559</v>
      </c>
      <c r="G91" s="51">
        <f>F91*$E$3/$F$7</f>
        <v>196.224857434225</v>
      </c>
      <c r="H91" s="51">
        <f t="shared" si="23"/>
        <v>18.6049833887043</v>
      </c>
      <c r="I91" s="51">
        <v>0</v>
      </c>
      <c r="J91" s="51">
        <f>I91*$I$3/$I$7</f>
        <v>0</v>
      </c>
      <c r="K91" s="77">
        <v>2</v>
      </c>
      <c r="L91" s="51">
        <f>K91*$K$3/$K$7</f>
        <v>18.6049833887043</v>
      </c>
      <c r="M91" s="77"/>
      <c r="N91" s="51">
        <f>M91*$M$3/$M$7</f>
        <v>0</v>
      </c>
      <c r="O91" s="51">
        <f t="shared" si="21"/>
        <v>78.054170619179</v>
      </c>
      <c r="P91" s="85">
        <v>1</v>
      </c>
      <c r="Q91" s="51">
        <f>P91*$P$3/$P$7</f>
        <v>40.3853365384615</v>
      </c>
      <c r="R91" s="85">
        <v>1</v>
      </c>
      <c r="S91" s="51">
        <f>R91*$R$3/$R$7</f>
        <v>37.6688340807175</v>
      </c>
      <c r="T91" s="77">
        <f t="shared" si="22"/>
        <v>656.041432814446</v>
      </c>
      <c r="U91" s="77"/>
      <c r="V91" s="77"/>
      <c r="W91" s="77">
        <v>656</v>
      </c>
    </row>
    <row r="92" s="18" customFormat="true" ht="27.75" customHeight="true" spans="1:23">
      <c r="A92" s="40">
        <v>5</v>
      </c>
      <c r="B92" s="49" t="s">
        <v>103</v>
      </c>
      <c r="C92" s="50">
        <v>192413</v>
      </c>
      <c r="D92" s="51">
        <f>C92*C3/C7</f>
        <v>228.771543173692</v>
      </c>
      <c r="E92" s="50">
        <v>11737</v>
      </c>
      <c r="F92" s="65">
        <f t="shared" si="26"/>
        <v>0.990503246227838</v>
      </c>
      <c r="G92" s="51">
        <f>F92*$E$3/$F$7</f>
        <v>195.773549265901</v>
      </c>
      <c r="H92" s="51">
        <f t="shared" si="23"/>
        <v>115.183661204226</v>
      </c>
      <c r="I92" s="51">
        <v>0</v>
      </c>
      <c r="J92" s="51">
        <f>I92*$I$3/$I$7</f>
        <v>0</v>
      </c>
      <c r="K92" s="77">
        <v>9</v>
      </c>
      <c r="L92" s="51">
        <f>K92*$K$3/$K$7</f>
        <v>83.7224252491694</v>
      </c>
      <c r="M92" s="77">
        <v>1</v>
      </c>
      <c r="N92" s="51">
        <f>M92*$M$3/$M$7</f>
        <v>31.4612359550562</v>
      </c>
      <c r="O92" s="51">
        <f t="shared" si="21"/>
        <v>64.5923917730252</v>
      </c>
      <c r="P92" s="85">
        <f>1/1.5</f>
        <v>0.666666666666667</v>
      </c>
      <c r="Q92" s="51">
        <f>P92*$P$3/$P$7</f>
        <v>26.9235576923077</v>
      </c>
      <c r="R92" s="85">
        <v>1</v>
      </c>
      <c r="S92" s="51">
        <f>R92*$R$3/$R$7</f>
        <v>37.6688340807175</v>
      </c>
      <c r="T92" s="77">
        <f t="shared" si="22"/>
        <v>604.321145416844</v>
      </c>
      <c r="U92" s="77"/>
      <c r="V92" s="77"/>
      <c r="W92" s="77">
        <v>604</v>
      </c>
    </row>
    <row r="93" s="18" customFormat="true" ht="27.75" customHeight="true" spans="1:23">
      <c r="A93" s="40">
        <v>6</v>
      </c>
      <c r="B93" s="49" t="s">
        <v>104</v>
      </c>
      <c r="C93" s="50">
        <v>867057</v>
      </c>
      <c r="D93" s="51">
        <f>C93*C3/C7</f>
        <v>1030.89691397957</v>
      </c>
      <c r="E93" s="50">
        <v>8728</v>
      </c>
      <c r="F93" s="65">
        <f t="shared" si="26"/>
        <v>0.992937917106294</v>
      </c>
      <c r="G93" s="51">
        <f>F93*$E$3/$F$7</f>
        <v>196.254763397187</v>
      </c>
      <c r="H93" s="51">
        <f t="shared" si="23"/>
        <v>74.4199335548173</v>
      </c>
      <c r="I93" s="51">
        <v>0</v>
      </c>
      <c r="J93" s="51">
        <f>I93*$I$3/$I$7</f>
        <v>0</v>
      </c>
      <c r="K93" s="77">
        <v>8</v>
      </c>
      <c r="L93" s="51">
        <f>K93*$K$3/$K$7</f>
        <v>74.4199335548173</v>
      </c>
      <c r="M93" s="77"/>
      <c r="N93" s="51">
        <f>M93*$M$3/$M$7</f>
        <v>0</v>
      </c>
      <c r="O93" s="51">
        <f t="shared" si="21"/>
        <v>78.054170619179</v>
      </c>
      <c r="P93" s="85">
        <v>1</v>
      </c>
      <c r="Q93" s="51">
        <f>P93*$P$3/$P$7</f>
        <v>40.3853365384615</v>
      </c>
      <c r="R93" s="85">
        <v>1</v>
      </c>
      <c r="S93" s="51">
        <f>R93*$R$3/$R$7</f>
        <v>37.6688340807175</v>
      </c>
      <c r="T93" s="77">
        <f t="shared" si="22"/>
        <v>1379.62578155075</v>
      </c>
      <c r="U93" s="77"/>
      <c r="V93" s="77"/>
      <c r="W93" s="77">
        <v>1380</v>
      </c>
    </row>
    <row r="94" s="18" customFormat="true" ht="27.75" hidden="true" customHeight="true" spans="1:23">
      <c r="A94" s="40">
        <v>7</v>
      </c>
      <c r="B94" s="49" t="s">
        <v>105</v>
      </c>
      <c r="C94" s="50">
        <v>228130</v>
      </c>
      <c r="D94" s="51">
        <f>C94*C3/C7</f>
        <v>271.237661406528</v>
      </c>
      <c r="E94" s="50">
        <v>10513</v>
      </c>
      <c r="F94" s="65">
        <f t="shared" si="26"/>
        <v>0.991493620822464</v>
      </c>
      <c r="G94" s="51">
        <f>F94*$E$3/$F$7</f>
        <v>195.969297387102</v>
      </c>
      <c r="H94" s="51">
        <f t="shared" si="23"/>
        <v>62.9224719101124</v>
      </c>
      <c r="I94" s="51">
        <v>0</v>
      </c>
      <c r="J94" s="51">
        <f>I94*$I$3/$I$7</f>
        <v>0</v>
      </c>
      <c r="K94" s="77">
        <v>0</v>
      </c>
      <c r="L94" s="51">
        <f>K94*$K$3/$K$7</f>
        <v>0</v>
      </c>
      <c r="M94" s="77">
        <v>2</v>
      </c>
      <c r="N94" s="51">
        <f>M94*$M$3/$M$7</f>
        <v>62.9224719101124</v>
      </c>
      <c r="O94" s="51">
        <f t="shared" si="21"/>
        <v>78.054170619179</v>
      </c>
      <c r="P94" s="85">
        <v>1</v>
      </c>
      <c r="Q94" s="51">
        <f>P94*$P$3/$P$7</f>
        <v>40.3853365384615</v>
      </c>
      <c r="R94" s="85">
        <v>1</v>
      </c>
      <c r="S94" s="51">
        <f>R94*$R$3/$R$7</f>
        <v>37.6688340807175</v>
      </c>
      <c r="T94" s="77">
        <f t="shared" si="22"/>
        <v>608.183601322921</v>
      </c>
      <c r="U94" s="77"/>
      <c r="V94" s="77"/>
      <c r="W94" s="77">
        <v>608</v>
      </c>
    </row>
    <row r="95" s="18" customFormat="true" ht="27.75" hidden="true" customHeight="true" spans="1:23">
      <c r="A95" s="40">
        <v>8</v>
      </c>
      <c r="B95" s="49" t="s">
        <v>106</v>
      </c>
      <c r="C95" s="50">
        <v>170650</v>
      </c>
      <c r="D95" s="51">
        <f>C95*C3/C7</f>
        <v>202.896186030001</v>
      </c>
      <c r="E95" s="50">
        <v>9806</v>
      </c>
      <c r="F95" s="65">
        <f t="shared" si="26"/>
        <v>0.992065675429</v>
      </c>
      <c r="G95" s="51">
        <f>F95*$E$3/$F$7</f>
        <v>196.082364316586</v>
      </c>
      <c r="H95" s="51">
        <f t="shared" si="23"/>
        <v>0</v>
      </c>
      <c r="I95" s="51">
        <v>0</v>
      </c>
      <c r="J95" s="51">
        <f>I95*$I$3/$I$7</f>
        <v>0</v>
      </c>
      <c r="K95" s="77">
        <v>0</v>
      </c>
      <c r="L95" s="51">
        <f>K95*$K$3/$K$7</f>
        <v>0</v>
      </c>
      <c r="M95" s="77"/>
      <c r="N95" s="51">
        <f>M95*$M$3/$M$7</f>
        <v>0</v>
      </c>
      <c r="O95" s="51">
        <f t="shared" si="21"/>
        <v>78.054170619179</v>
      </c>
      <c r="P95" s="85">
        <v>1</v>
      </c>
      <c r="Q95" s="51">
        <f>P95*$P$3/$P$7</f>
        <v>40.3853365384615</v>
      </c>
      <c r="R95" s="85">
        <v>1</v>
      </c>
      <c r="S95" s="51">
        <f>R95*$R$3/$R$7</f>
        <v>37.6688340807175</v>
      </c>
      <c r="T95" s="77">
        <f t="shared" si="22"/>
        <v>477.032720965766</v>
      </c>
      <c r="U95" s="77"/>
      <c r="V95" s="77"/>
      <c r="W95" s="77">
        <v>477</v>
      </c>
    </row>
    <row r="96" s="18" customFormat="true" ht="27.75" hidden="true" customHeight="true" spans="1:23">
      <c r="A96" s="40">
        <v>9</v>
      </c>
      <c r="B96" s="49" t="s">
        <v>107</v>
      </c>
      <c r="C96" s="50">
        <v>453205</v>
      </c>
      <c r="D96" s="51">
        <f>C96*C3/C7</f>
        <v>538.843047112373</v>
      </c>
      <c r="E96" s="50">
        <v>8687</v>
      </c>
      <c r="F96" s="65">
        <f t="shared" si="26"/>
        <v>0.992971091418695</v>
      </c>
      <c r="G96" s="51">
        <f>F96*$E$3/$F$7</f>
        <v>196.261320319547</v>
      </c>
      <c r="H96" s="51">
        <f t="shared" si="23"/>
        <v>0</v>
      </c>
      <c r="I96" s="51">
        <v>0</v>
      </c>
      <c r="J96" s="51">
        <f>I96*$I$3/$I$7</f>
        <v>0</v>
      </c>
      <c r="K96" s="77">
        <v>0</v>
      </c>
      <c r="L96" s="51">
        <f>K96*$K$3/$K$7</f>
        <v>0</v>
      </c>
      <c r="M96" s="77"/>
      <c r="N96" s="51">
        <f>M96*$M$3/$M$7</f>
        <v>0</v>
      </c>
      <c r="O96" s="51">
        <f t="shared" si="21"/>
        <v>78.054170619179</v>
      </c>
      <c r="P96" s="85">
        <v>1</v>
      </c>
      <c r="Q96" s="51">
        <f>P96*$P$3/$P$7</f>
        <v>40.3853365384615</v>
      </c>
      <c r="R96" s="85">
        <v>1</v>
      </c>
      <c r="S96" s="51">
        <f>R96*$R$3/$R$7</f>
        <v>37.6688340807175</v>
      </c>
      <c r="T96" s="77">
        <f t="shared" si="22"/>
        <v>813.158538051099</v>
      </c>
      <c r="U96" s="77"/>
      <c r="V96" s="77"/>
      <c r="W96" s="77">
        <v>813</v>
      </c>
    </row>
    <row r="97" s="18" customFormat="true" ht="27.75" hidden="true" customHeight="true" spans="1:23">
      <c r="A97" s="40">
        <v>10</v>
      </c>
      <c r="B97" s="49" t="s">
        <v>108</v>
      </c>
      <c r="C97" s="50">
        <v>360378</v>
      </c>
      <c r="D97" s="51">
        <f>C97*C3/C7</f>
        <v>428.475369054319</v>
      </c>
      <c r="E97" s="50">
        <v>10139</v>
      </c>
      <c r="F97" s="65">
        <f t="shared" si="26"/>
        <v>0.991796235281933</v>
      </c>
      <c r="G97" s="51">
        <f>F97*$E$3/$F$7</f>
        <v>196.029109313024</v>
      </c>
      <c r="H97" s="51">
        <f t="shared" si="23"/>
        <v>0</v>
      </c>
      <c r="I97" s="51">
        <v>0</v>
      </c>
      <c r="J97" s="51">
        <f>I97*$I$3/$I$7</f>
        <v>0</v>
      </c>
      <c r="K97" s="77">
        <v>0</v>
      </c>
      <c r="L97" s="51">
        <f>K97*$K$3/$K$7</f>
        <v>0</v>
      </c>
      <c r="M97" s="77"/>
      <c r="N97" s="51">
        <f>M97*$M$3/$M$7</f>
        <v>0</v>
      </c>
      <c r="O97" s="51">
        <f t="shared" si="21"/>
        <v>65.4978925922732</v>
      </c>
      <c r="P97" s="85">
        <v>1</v>
      </c>
      <c r="Q97" s="51">
        <f>P97*$P$3/$P$7</f>
        <v>40.3853365384615</v>
      </c>
      <c r="R97" s="85">
        <f>1/1.5</f>
        <v>0.666666666666667</v>
      </c>
      <c r="S97" s="51">
        <f>R97*$R$3/$R$7</f>
        <v>25.1125560538117</v>
      </c>
      <c r="T97" s="77">
        <f t="shared" si="22"/>
        <v>690.002370959616</v>
      </c>
      <c r="U97" s="77"/>
      <c r="V97" s="77"/>
      <c r="W97" s="77">
        <v>690</v>
      </c>
    </row>
    <row r="98" s="18" customFormat="true" ht="27.75" customHeight="true" spans="1:23">
      <c r="A98" s="40">
        <v>11</v>
      </c>
      <c r="B98" s="49" t="s">
        <v>109</v>
      </c>
      <c r="C98" s="50">
        <v>531049</v>
      </c>
      <c r="D98" s="51">
        <f>C98*C3/C7</f>
        <v>631.396523264259</v>
      </c>
      <c r="E98" s="50">
        <v>8846</v>
      </c>
      <c r="F98" s="65">
        <f t="shared" si="26"/>
        <v>0.992842439816943</v>
      </c>
      <c r="G98" s="51">
        <f>F98*$E$3/$F$7</f>
        <v>196.235892254783</v>
      </c>
      <c r="H98" s="51">
        <f t="shared" si="23"/>
        <v>259.94525153292</v>
      </c>
      <c r="I98" s="51">
        <v>102</v>
      </c>
      <c r="J98" s="51">
        <f>I98*$I$3/$I$7</f>
        <v>194.827809672455</v>
      </c>
      <c r="K98" s="77">
        <v>7</v>
      </c>
      <c r="L98" s="51">
        <f>K98*$K$3/$K$7</f>
        <v>65.1174418604651</v>
      </c>
      <c r="M98" s="77"/>
      <c r="N98" s="51">
        <f>M98*$M$3/$M$7</f>
        <v>0</v>
      </c>
      <c r="O98" s="51">
        <f t="shared" si="21"/>
        <v>78.054170619179</v>
      </c>
      <c r="P98" s="85">
        <v>1</v>
      </c>
      <c r="Q98" s="51">
        <f>P98*$P$3/$P$7</f>
        <v>40.3853365384615</v>
      </c>
      <c r="R98" s="85">
        <v>1</v>
      </c>
      <c r="S98" s="51">
        <f>R98*$R$3/$R$7</f>
        <v>37.6688340807175</v>
      </c>
      <c r="T98" s="77">
        <f t="shared" si="22"/>
        <v>1165.63183767114</v>
      </c>
      <c r="U98" s="77"/>
      <c r="V98" s="77"/>
      <c r="W98" s="77">
        <v>1166</v>
      </c>
    </row>
    <row r="99" s="18" customFormat="true" ht="27.75" customHeight="true" spans="1:23">
      <c r="A99" s="40">
        <v>12</v>
      </c>
      <c r="B99" s="49" t="s">
        <v>110</v>
      </c>
      <c r="C99" s="50">
        <v>38309</v>
      </c>
      <c r="D99" s="51">
        <f>C99*C3/C7</f>
        <v>45.5479050139074</v>
      </c>
      <c r="E99" s="50">
        <v>8595</v>
      </c>
      <c r="F99" s="65">
        <f t="shared" si="26"/>
        <v>0.993045531339207</v>
      </c>
      <c r="G99" s="51">
        <f>F99*$E$3/$F$7</f>
        <v>196.276033413624</v>
      </c>
      <c r="H99" s="51">
        <f t="shared" si="23"/>
        <v>1934.44888856016</v>
      </c>
      <c r="I99" s="51">
        <v>793.6</v>
      </c>
      <c r="J99" s="51">
        <f>I99*$I$3/$I$7</f>
        <v>1515.83676231432</v>
      </c>
      <c r="K99" s="77">
        <v>45</v>
      </c>
      <c r="L99" s="51">
        <f>K99*$K$3/$K$7</f>
        <v>418.612126245847</v>
      </c>
      <c r="M99" s="77"/>
      <c r="N99" s="51">
        <f>M99*$M$3/$M$7</f>
        <v>0</v>
      </c>
      <c r="O99" s="51">
        <f t="shared" si="21"/>
        <v>78.054170619179</v>
      </c>
      <c r="P99" s="85">
        <v>1</v>
      </c>
      <c r="Q99" s="51">
        <f>P99*$P$3/$P$7</f>
        <v>40.3853365384615</v>
      </c>
      <c r="R99" s="85">
        <v>1</v>
      </c>
      <c r="S99" s="51">
        <f>R99*$R$3/$R$7</f>
        <v>37.6688340807175</v>
      </c>
      <c r="T99" s="77">
        <f t="shared" si="22"/>
        <v>2254.32699760687</v>
      </c>
      <c r="U99" s="77"/>
      <c r="V99" s="77"/>
      <c r="W99" s="77">
        <v>2254</v>
      </c>
    </row>
    <row r="100" s="20" customFormat="true" ht="27.75" customHeight="true" spans="1:23">
      <c r="A100" s="48" t="s">
        <v>111</v>
      </c>
      <c r="B100" s="48" t="s">
        <v>112</v>
      </c>
      <c r="C100" s="46">
        <f>SUM(C101:C108)</f>
        <v>2458520</v>
      </c>
      <c r="D100" s="47">
        <f>SUM(D101:D108)</f>
        <v>2923.08427353342</v>
      </c>
      <c r="E100" s="46">
        <f>SUM(E101:E108)</f>
        <v>74281</v>
      </c>
      <c r="F100" s="64">
        <f>SUM(F101:F108)</f>
        <v>7.93989704635342</v>
      </c>
      <c r="G100" s="47">
        <f>SUM(G101:G108)</f>
        <v>1569.32532173943</v>
      </c>
      <c r="H100" s="47">
        <f t="shared" si="23"/>
        <v>527.507542457341</v>
      </c>
      <c r="I100" s="47">
        <f>I107+I108</f>
        <v>197.536</v>
      </c>
      <c r="J100" s="47">
        <f>SUM(J101:J108)</f>
        <v>377.308884426059</v>
      </c>
      <c r="K100" s="46">
        <f>SUM(K101:K108)</f>
        <v>6</v>
      </c>
      <c r="L100" s="47">
        <f>SUM(L101:L108)</f>
        <v>55.814950166113</v>
      </c>
      <c r="M100" s="76">
        <f>SUM(M101:M108)</f>
        <v>3</v>
      </c>
      <c r="N100" s="47">
        <f>SUM(N101:N108)</f>
        <v>94.3837078651685</v>
      </c>
      <c r="O100" s="47">
        <f t="shared" si="21"/>
        <v>558.029971541911</v>
      </c>
      <c r="P100" s="84">
        <f>SUM(P101:P108)</f>
        <v>6.66666666666667</v>
      </c>
      <c r="Q100" s="47">
        <f>SUM(Q101:Q108)</f>
        <v>269.235576923077</v>
      </c>
      <c r="R100" s="84">
        <f>SUM(R101:R108)</f>
        <v>7.66666666666667</v>
      </c>
      <c r="S100" s="47">
        <f>SUM(S101:S108)</f>
        <v>288.794394618834</v>
      </c>
      <c r="T100" s="76">
        <f t="shared" si="22"/>
        <v>5577.9471092721</v>
      </c>
      <c r="U100" s="76"/>
      <c r="V100" s="76"/>
      <c r="W100" s="76">
        <v>5579</v>
      </c>
    </row>
    <row r="101" s="18" customFormat="true" ht="27.75" hidden="true" customHeight="true" spans="1:23">
      <c r="A101" s="40">
        <v>1</v>
      </c>
      <c r="B101" s="49" t="s">
        <v>113</v>
      </c>
      <c r="C101" s="50">
        <v>372129</v>
      </c>
      <c r="D101" s="51">
        <f>C101*C3/C7</f>
        <v>442.446849171744</v>
      </c>
      <c r="E101" s="50">
        <v>9789</v>
      </c>
      <c r="F101" s="65">
        <f>IF((E101/$E$7)&gt;1,ABS(1-E101/$E$7-1),1-E101/$E$7)</f>
        <v>0.992079430631704</v>
      </c>
      <c r="G101" s="51">
        <f>F101*$E$3/$F$7</f>
        <v>196.085083040492</v>
      </c>
      <c r="H101" s="51">
        <f t="shared" si="23"/>
        <v>0</v>
      </c>
      <c r="I101" s="51">
        <v>0</v>
      </c>
      <c r="J101" s="51">
        <f>I101*$I$3/$I$7</f>
        <v>0</v>
      </c>
      <c r="K101" s="77">
        <v>0</v>
      </c>
      <c r="L101" s="51">
        <f>K101*$K$3/$K$7</f>
        <v>0</v>
      </c>
      <c r="M101" s="77"/>
      <c r="N101" s="51">
        <f>M101*$M$3/$M$7</f>
        <v>0</v>
      </c>
      <c r="O101" s="51">
        <f t="shared" si="21"/>
        <v>78.054170619179</v>
      </c>
      <c r="P101" s="85">
        <v>1</v>
      </c>
      <c r="Q101" s="51">
        <f>P101*$P$3/$P$7</f>
        <v>40.3853365384615</v>
      </c>
      <c r="R101" s="85">
        <v>1</v>
      </c>
      <c r="S101" s="51">
        <f>R101*$R$3/$R$7</f>
        <v>37.6688340807175</v>
      </c>
      <c r="T101" s="77">
        <f t="shared" si="22"/>
        <v>716.586102831415</v>
      </c>
      <c r="U101" s="77"/>
      <c r="V101" s="77"/>
      <c r="W101" s="100">
        <v>717</v>
      </c>
    </row>
    <row r="102" s="18" customFormat="true" ht="27.75" hidden="true" customHeight="true" spans="1:23">
      <c r="A102" s="40">
        <v>2</v>
      </c>
      <c r="B102" s="49" t="s">
        <v>114</v>
      </c>
      <c r="C102" s="50">
        <v>634034</v>
      </c>
      <c r="D102" s="51">
        <f>C102*C3/C7</f>
        <v>753.841666647205</v>
      </c>
      <c r="E102" s="50">
        <v>8397</v>
      </c>
      <c r="F102" s="65">
        <f t="shared" ref="F102:F108" si="27">IF((E102/$E$7)&gt;1,ABS(1-E102/$E$7-1),1-E102/$E$7)</f>
        <v>0.99320573899422</v>
      </c>
      <c r="G102" s="51">
        <f>F102*$E$3/$F$7</f>
        <v>196.307698550878</v>
      </c>
      <c r="H102" s="51">
        <f t="shared" si="23"/>
        <v>0</v>
      </c>
      <c r="I102" s="51">
        <v>0</v>
      </c>
      <c r="J102" s="51">
        <f>I102*$I$3/$I$7</f>
        <v>0</v>
      </c>
      <c r="K102" s="77">
        <v>0</v>
      </c>
      <c r="L102" s="51">
        <f>K102*$K$3/$K$7</f>
        <v>0</v>
      </c>
      <c r="M102" s="77"/>
      <c r="N102" s="51">
        <f>M102*$M$3/$M$7</f>
        <v>0</v>
      </c>
      <c r="O102" s="51">
        <f t="shared" si="21"/>
        <v>78.054170619179</v>
      </c>
      <c r="P102" s="85">
        <v>1</v>
      </c>
      <c r="Q102" s="51">
        <f>P102*$P$3/$P$7</f>
        <v>40.3853365384615</v>
      </c>
      <c r="R102" s="85">
        <v>1</v>
      </c>
      <c r="S102" s="51">
        <f>R102*$R$3/$R$7</f>
        <v>37.6688340807175</v>
      </c>
      <c r="T102" s="77">
        <f t="shared" si="22"/>
        <v>1028.20353581726</v>
      </c>
      <c r="U102" s="77"/>
      <c r="V102" s="77"/>
      <c r="W102" s="100">
        <v>1028</v>
      </c>
    </row>
    <row r="103" s="18" customFormat="true" ht="27.75" hidden="true" customHeight="true" spans="1:23">
      <c r="A103" s="40">
        <v>3</v>
      </c>
      <c r="B103" s="49" t="s">
        <v>115</v>
      </c>
      <c r="C103" s="50">
        <v>292553</v>
      </c>
      <c r="D103" s="51">
        <f>C103*C3/C7</f>
        <v>347.834092655346</v>
      </c>
      <c r="E103" s="50">
        <v>8913</v>
      </c>
      <c r="F103" s="65">
        <f t="shared" si="27"/>
        <v>0.992788228135701</v>
      </c>
      <c r="G103" s="51">
        <f>F103*$E$3/$F$7</f>
        <v>196.225177284097</v>
      </c>
      <c r="H103" s="51">
        <f t="shared" si="23"/>
        <v>0</v>
      </c>
      <c r="I103" s="51">
        <v>0</v>
      </c>
      <c r="J103" s="51">
        <f>I103*$I$3/$I$7</f>
        <v>0</v>
      </c>
      <c r="K103" s="77">
        <v>0</v>
      </c>
      <c r="L103" s="51">
        <f>K103*$K$3/$K$7</f>
        <v>0</v>
      </c>
      <c r="M103" s="77"/>
      <c r="N103" s="51">
        <f>M103*$M$3/$M$7</f>
        <v>0</v>
      </c>
      <c r="O103" s="51">
        <f t="shared" si="21"/>
        <v>52.0361137461194</v>
      </c>
      <c r="P103" s="85">
        <f>1/1.5</f>
        <v>0.666666666666667</v>
      </c>
      <c r="Q103" s="51">
        <f>P103*$P$3/$P$7</f>
        <v>26.9235576923077</v>
      </c>
      <c r="R103" s="85">
        <f>1/1.5</f>
        <v>0.666666666666667</v>
      </c>
      <c r="S103" s="51">
        <f>R103*$R$3/$R$7</f>
        <v>25.1125560538117</v>
      </c>
      <c r="T103" s="77">
        <f t="shared" si="22"/>
        <v>596.095383685562</v>
      </c>
      <c r="U103" s="77"/>
      <c r="V103" s="77"/>
      <c r="W103" s="100">
        <v>596</v>
      </c>
    </row>
    <row r="104" s="18" customFormat="true" ht="27.75" hidden="true" customHeight="true" spans="1:23">
      <c r="A104" s="40">
        <v>4</v>
      </c>
      <c r="B104" s="49" t="s">
        <v>116</v>
      </c>
      <c r="C104" s="50">
        <v>166310</v>
      </c>
      <c r="D104" s="51">
        <f>C104*C3/C7</f>
        <v>197.736095509226</v>
      </c>
      <c r="E104" s="50">
        <v>8368</v>
      </c>
      <c r="F104" s="65">
        <f t="shared" si="27"/>
        <v>0.993229203751772</v>
      </c>
      <c r="G104" s="51">
        <f>F104*$E$3/$F$7</f>
        <v>196.31233637401</v>
      </c>
      <c r="H104" s="51">
        <f t="shared" si="23"/>
        <v>0</v>
      </c>
      <c r="I104" s="51">
        <v>0</v>
      </c>
      <c r="J104" s="51">
        <f>I104*$I$3/$I$7</f>
        <v>0</v>
      </c>
      <c r="K104" s="77">
        <v>0</v>
      </c>
      <c r="L104" s="51">
        <f>K104*$K$3/$K$7</f>
        <v>0</v>
      </c>
      <c r="M104" s="77"/>
      <c r="N104" s="51">
        <f>M104*$M$3/$M$7</f>
        <v>0</v>
      </c>
      <c r="O104" s="51">
        <f t="shared" si="21"/>
        <v>64.5923917730252</v>
      </c>
      <c r="P104" s="85">
        <f>1/1.5</f>
        <v>0.666666666666667</v>
      </c>
      <c r="Q104" s="51">
        <f>P104*$P$3/$P$7</f>
        <v>26.9235576923077</v>
      </c>
      <c r="R104" s="85">
        <v>1</v>
      </c>
      <c r="S104" s="51">
        <f>R104*$R$3/$R$7</f>
        <v>37.6688340807175</v>
      </c>
      <c r="T104" s="77">
        <f t="shared" si="22"/>
        <v>458.640823656261</v>
      </c>
      <c r="U104" s="77"/>
      <c r="V104" s="77"/>
      <c r="W104" s="100">
        <v>459</v>
      </c>
    </row>
    <row r="105" s="18" customFormat="true" ht="27.75" hidden="true" customHeight="true" spans="1:23">
      <c r="A105" s="40">
        <v>5</v>
      </c>
      <c r="B105" s="49" t="s">
        <v>117</v>
      </c>
      <c r="C105" s="50">
        <v>285471</v>
      </c>
      <c r="D105" s="51">
        <f>C105*C3/C7</f>
        <v>339.413871211077</v>
      </c>
      <c r="E105" s="50">
        <v>8775</v>
      </c>
      <c r="F105" s="65">
        <f t="shared" si="27"/>
        <v>0.992899888016467</v>
      </c>
      <c r="G105" s="51">
        <f>F105*$E$3/$F$7</f>
        <v>196.247246925212</v>
      </c>
      <c r="H105" s="51">
        <f t="shared" si="23"/>
        <v>62.9224719101124</v>
      </c>
      <c r="I105" s="51">
        <v>0</v>
      </c>
      <c r="J105" s="51">
        <f>I105*$I$3/$I$7</f>
        <v>0</v>
      </c>
      <c r="K105" s="77">
        <v>0</v>
      </c>
      <c r="L105" s="51">
        <f>K105*$K$3/$K$7</f>
        <v>0</v>
      </c>
      <c r="M105" s="77">
        <v>2</v>
      </c>
      <c r="N105" s="51">
        <f>M105*$M$3/$M$7</f>
        <v>62.9224719101124</v>
      </c>
      <c r="O105" s="51">
        <f t="shared" si="21"/>
        <v>78.054170619179</v>
      </c>
      <c r="P105" s="85">
        <v>1</v>
      </c>
      <c r="Q105" s="51">
        <f>P105*$P$3/$P$7</f>
        <v>40.3853365384615</v>
      </c>
      <c r="R105" s="85">
        <v>1</v>
      </c>
      <c r="S105" s="51">
        <f>R105*$R$3/$R$7</f>
        <v>37.6688340807175</v>
      </c>
      <c r="T105" s="77">
        <f t="shared" si="22"/>
        <v>676.63776066558</v>
      </c>
      <c r="U105" s="77"/>
      <c r="V105" s="77"/>
      <c r="W105" s="100">
        <v>677</v>
      </c>
    </row>
    <row r="106" s="18" customFormat="true" ht="27.75" hidden="true" customHeight="true" spans="1:23">
      <c r="A106" s="40">
        <v>6</v>
      </c>
      <c r="B106" s="49" t="s">
        <v>118</v>
      </c>
      <c r="C106" s="50">
        <v>35131</v>
      </c>
      <c r="D106" s="51">
        <f>C106*C3/C7</f>
        <v>41.7693871164369</v>
      </c>
      <c r="E106" s="50">
        <v>11980</v>
      </c>
      <c r="F106" s="65">
        <f t="shared" si="27"/>
        <v>0.99030662774214</v>
      </c>
      <c r="G106" s="51">
        <f>F106*$E$3/$F$7</f>
        <v>195.734687506544</v>
      </c>
      <c r="H106" s="51">
        <f t="shared" si="23"/>
        <v>0</v>
      </c>
      <c r="I106" s="51">
        <v>0</v>
      </c>
      <c r="J106" s="51">
        <f>I106*$I$3/$I$7</f>
        <v>0</v>
      </c>
      <c r="K106" s="77">
        <v>0</v>
      </c>
      <c r="L106" s="51">
        <f>K106*$K$3/$K$7</f>
        <v>0</v>
      </c>
      <c r="M106" s="77"/>
      <c r="N106" s="51">
        <f>M106*$M$3/$M$7</f>
        <v>0</v>
      </c>
      <c r="O106" s="51">
        <f t="shared" si="21"/>
        <v>78.054170619179</v>
      </c>
      <c r="P106" s="85">
        <v>1</v>
      </c>
      <c r="Q106" s="51">
        <f>P106*$P$3/$P$7</f>
        <v>40.3853365384615</v>
      </c>
      <c r="R106" s="85">
        <v>1</v>
      </c>
      <c r="S106" s="51">
        <f>R106*$R$3/$R$7</f>
        <v>37.6688340807175</v>
      </c>
      <c r="T106" s="77">
        <f t="shared" si="22"/>
        <v>315.55824524216</v>
      </c>
      <c r="U106" s="77"/>
      <c r="V106" s="77"/>
      <c r="W106" s="100">
        <v>316</v>
      </c>
    </row>
    <row r="107" s="18" customFormat="true" ht="27.75" hidden="true" customHeight="true" spans="1:23">
      <c r="A107" s="40">
        <v>7</v>
      </c>
      <c r="B107" s="49" t="s">
        <v>119</v>
      </c>
      <c r="C107" s="50">
        <v>353990</v>
      </c>
      <c r="D107" s="51">
        <f>C107*C3/C7</f>
        <v>420.880286508995</v>
      </c>
      <c r="E107" s="50">
        <v>9422</v>
      </c>
      <c r="F107" s="65">
        <f t="shared" si="27"/>
        <v>0.992376381184177</v>
      </c>
      <c r="G107" s="51">
        <f>F107*$E$3/$F$7</f>
        <v>196.143775491865</v>
      </c>
      <c r="H107" s="51">
        <f t="shared" si="23"/>
        <v>304.602184809576</v>
      </c>
      <c r="I107" s="51">
        <v>143</v>
      </c>
      <c r="J107" s="51">
        <f>I107*$I$3/$I$7</f>
        <v>273.14094885452</v>
      </c>
      <c r="K107" s="77">
        <v>0</v>
      </c>
      <c r="L107" s="51">
        <f>K107*$K$3/$K$7</f>
        <v>0</v>
      </c>
      <c r="M107" s="77">
        <v>1</v>
      </c>
      <c r="N107" s="51">
        <f>M107*$M$3/$M$7</f>
        <v>31.4612359550562</v>
      </c>
      <c r="O107" s="51">
        <f t="shared" si="21"/>
        <v>64.5923917730252</v>
      </c>
      <c r="P107" s="85">
        <f>1/1.5</f>
        <v>0.666666666666667</v>
      </c>
      <c r="Q107" s="51">
        <f>P107*$P$3/$P$7</f>
        <v>26.9235576923077</v>
      </c>
      <c r="R107" s="85">
        <v>1</v>
      </c>
      <c r="S107" s="51">
        <f>R107*$R$3/$R$7</f>
        <v>37.6688340807175</v>
      </c>
      <c r="T107" s="77">
        <f t="shared" si="22"/>
        <v>986.218638583462</v>
      </c>
      <c r="U107" s="77"/>
      <c r="V107" s="77"/>
      <c r="W107" s="100">
        <v>986</v>
      </c>
    </row>
    <row r="108" s="18" customFormat="true" ht="27.75" customHeight="true" spans="1:23">
      <c r="A108" s="40">
        <v>8</v>
      </c>
      <c r="B108" s="49" t="s">
        <v>120</v>
      </c>
      <c r="C108" s="50">
        <v>318902</v>
      </c>
      <c r="D108" s="51">
        <f>C108*C3/C7</f>
        <v>379.162024713386</v>
      </c>
      <c r="E108" s="50">
        <v>8637</v>
      </c>
      <c r="F108" s="65">
        <f t="shared" si="27"/>
        <v>0.993011547897234</v>
      </c>
      <c r="G108" s="51">
        <f>F108*$E$3/$F$7</f>
        <v>196.269316566328</v>
      </c>
      <c r="H108" s="51">
        <f t="shared" si="23"/>
        <v>159.982885737652</v>
      </c>
      <c r="I108" s="51">
        <v>54.536</v>
      </c>
      <c r="J108" s="51">
        <f>I108*$I$3/$I$7</f>
        <v>104.167935571539</v>
      </c>
      <c r="K108" s="77">
        <v>6</v>
      </c>
      <c r="L108" s="51">
        <f>K108*$K$3/$K$7</f>
        <v>55.814950166113</v>
      </c>
      <c r="M108" s="77"/>
      <c r="N108" s="51">
        <f>M108*$M$3/$M$7</f>
        <v>0</v>
      </c>
      <c r="O108" s="51">
        <f t="shared" si="21"/>
        <v>64.5923917730252</v>
      </c>
      <c r="P108" s="85">
        <f>1/1.5</f>
        <v>0.666666666666667</v>
      </c>
      <c r="Q108" s="51">
        <f>P108*$P$3/$P$7</f>
        <v>26.9235576923077</v>
      </c>
      <c r="R108" s="85">
        <v>1</v>
      </c>
      <c r="S108" s="51">
        <f>R108*$R$3/$R$7</f>
        <v>37.6688340807175</v>
      </c>
      <c r="T108" s="77">
        <f t="shared" si="22"/>
        <v>800.006618790391</v>
      </c>
      <c r="U108" s="77"/>
      <c r="V108" s="77"/>
      <c r="W108" s="100">
        <v>800</v>
      </c>
    </row>
  </sheetData>
  <autoFilter ref="A6:W108">
    <filterColumn colId="10">
      <filters>
        <filter val="15"/>
        <filter val="56"/>
        <filter val="17"/>
        <filter val="20"/>
        <filter val="23"/>
        <filter val="30"/>
        <filter val="31"/>
        <filter val="32"/>
        <filter val="132"/>
        <filter val="33"/>
        <filter val="76"/>
        <filter val="1"/>
        <filter val="2"/>
        <filter val="3"/>
        <filter val="4"/>
        <filter val="45"/>
        <filter val="6"/>
        <filter val="7"/>
        <filter val="8"/>
        <filter val="9"/>
      </filters>
    </filterColumn>
    <extLst/>
  </autoFilter>
  <mergeCells count="21">
    <mergeCell ref="A1:W1"/>
    <mergeCell ref="A2:W2"/>
    <mergeCell ref="C3:D3"/>
    <mergeCell ref="U3:V3"/>
    <mergeCell ref="I4:N4"/>
    <mergeCell ref="P4:S4"/>
    <mergeCell ref="I5:J5"/>
    <mergeCell ref="K5:L5"/>
    <mergeCell ref="M5:N5"/>
    <mergeCell ref="P5:Q5"/>
    <mergeCell ref="R5:S5"/>
    <mergeCell ref="A4:A5"/>
    <mergeCell ref="B4:B5"/>
    <mergeCell ref="H4:H5"/>
    <mergeCell ref="O4:O5"/>
    <mergeCell ref="T4:T5"/>
    <mergeCell ref="U4:U5"/>
    <mergeCell ref="V4:V5"/>
    <mergeCell ref="W4:W5"/>
    <mergeCell ref="C4:D5"/>
    <mergeCell ref="E4:G5"/>
  </mergeCells>
  <pageMargins left="0.354166666666667" right="0.156944444444444" top="0.559652227116382" bottom="0.490216476710763" header="0.499937478012926" footer="0.209696015973729"/>
  <pageSetup paperSize="9" scale="7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J6" sqref="J6"/>
    </sheetView>
  </sheetViews>
  <sheetFormatPr defaultColWidth="9" defaultRowHeight="13.5" outlineLevelRow="7" outlineLevelCol="5"/>
  <cols>
    <col min="2" max="2" width="40.625" customWidth="true"/>
    <col min="3" max="4" width="22.625" customWidth="true"/>
    <col min="5" max="6" width="18.625" customWidth="true"/>
    <col min="7" max="7" width="11.5"/>
    <col min="8" max="8" width="12.625"/>
  </cols>
  <sheetData>
    <row r="1" ht="30.75" customHeight="true" spans="1:6">
      <c r="A1" s="3" t="s">
        <v>208</v>
      </c>
      <c r="B1" s="4"/>
      <c r="C1" s="4"/>
      <c r="D1" s="4"/>
      <c r="E1" s="4"/>
      <c r="F1" s="4"/>
    </row>
    <row r="2" ht="78" customHeight="true" spans="2:6">
      <c r="B2" s="5" t="s">
        <v>209</v>
      </c>
      <c r="C2" s="5"/>
      <c r="D2" s="5"/>
      <c r="E2" s="5"/>
      <c r="F2" s="5"/>
    </row>
    <row r="3" ht="27" customHeight="true" spans="2:6">
      <c r="B3" s="6"/>
      <c r="C3" s="6"/>
      <c r="D3" s="6"/>
      <c r="E3" s="6"/>
      <c r="F3" s="13" t="s">
        <v>123</v>
      </c>
    </row>
    <row r="4" s="1" customFormat="true" ht="60.75" customHeight="true" spans="1:6">
      <c r="A4" s="7" t="s">
        <v>2</v>
      </c>
      <c r="B4" s="8" t="s">
        <v>210</v>
      </c>
      <c r="C4" s="8" t="s">
        <v>211</v>
      </c>
      <c r="D4" s="8" t="s">
        <v>212</v>
      </c>
      <c r="E4" s="8" t="s">
        <v>213</v>
      </c>
      <c r="F4" s="8" t="s">
        <v>214</v>
      </c>
    </row>
    <row r="5" s="2" customFormat="true" ht="60.75" customHeight="true" spans="1:6">
      <c r="A5" s="9">
        <v>1</v>
      </c>
      <c r="B5" s="10" t="s">
        <v>215</v>
      </c>
      <c r="C5" s="11">
        <v>55556</v>
      </c>
      <c r="D5" s="11">
        <v>56001</v>
      </c>
      <c r="E5" s="14">
        <f>C5+D5</f>
        <v>111557</v>
      </c>
      <c r="F5" s="14">
        <v>100</v>
      </c>
    </row>
    <row r="6" s="2" customFormat="true" ht="60.75" customHeight="true" spans="1:6">
      <c r="A6" s="9">
        <v>2</v>
      </c>
      <c r="B6" s="10" t="s">
        <v>216</v>
      </c>
      <c r="C6" s="11">
        <v>50170</v>
      </c>
      <c r="D6" s="11">
        <v>27422</v>
      </c>
      <c r="E6" s="14">
        <f>C6+D6</f>
        <v>77592</v>
      </c>
      <c r="F6" s="15">
        <f>E6/E5</f>
        <v>0.695536810778347</v>
      </c>
    </row>
    <row r="7" s="2" customFormat="true" ht="60.75" customHeight="true" spans="1:6">
      <c r="A7" s="9">
        <v>3</v>
      </c>
      <c r="B7" s="10" t="s">
        <v>217</v>
      </c>
      <c r="C7" s="11">
        <v>46000</v>
      </c>
      <c r="D7" s="11">
        <v>19452</v>
      </c>
      <c r="E7" s="14">
        <f>C7+D7</f>
        <v>65452</v>
      </c>
      <c r="F7" s="15">
        <f>E7/E5</f>
        <v>0.586713518649659</v>
      </c>
    </row>
    <row r="8" s="2" customFormat="true" ht="60.75" customHeight="true" spans="1:6">
      <c r="A8" s="9">
        <v>4</v>
      </c>
      <c r="B8" s="12" t="s">
        <v>218</v>
      </c>
      <c r="C8" s="11">
        <v>55556</v>
      </c>
      <c r="D8" s="11">
        <v>27036</v>
      </c>
      <c r="E8" s="14">
        <f>C8+D8</f>
        <v>82592</v>
      </c>
      <c r="F8" s="15">
        <f>E8/E5</f>
        <v>0.740356947569404</v>
      </c>
    </row>
  </sheetData>
  <mergeCells count="2">
    <mergeCell ref="A1:F1"/>
    <mergeCell ref="B2:F2"/>
  </mergeCells>
  <pageMargins left="0.74990626395218" right="0.74990626395218" top="0.826388888888889" bottom="0.999874956025852" header="0.499937478012926" footer="0.4999374780129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资金分配表</vt:lpstr>
      <vt:lpstr>特困因素</vt:lpstr>
      <vt:lpstr>深度贫困因素</vt:lpstr>
      <vt:lpstr>因素表</vt:lpstr>
      <vt:lpstr>支持贫困比例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陆海燕</dc:creator>
  <cp:lastModifiedBy>user</cp:lastModifiedBy>
  <cp:revision>0</cp:revision>
  <dcterms:created xsi:type="dcterms:W3CDTF">2017-01-05T10:17:00Z</dcterms:created>
  <cp:lastPrinted>2018-12-19T17:16:00Z</cp:lastPrinted>
  <dcterms:modified xsi:type="dcterms:W3CDTF">2021-12-20T17:13:50Z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